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prarchitects.com\lbsupport\Marketing\S111\7_AWARDS\2025\AIA SBLB\MLK+PCH\"/>
    </mc:Choice>
  </mc:AlternateContent>
  <xr:revisionPtr revIDLastSave="0" documentId="8_{8AC7D893-4333-46FF-9AA3-B11196EE6A1D}" xr6:coauthVersionLast="47" xr6:coauthVersionMax="47" xr10:uidLastSave="{00000000-0000-0000-0000-000000000000}"/>
  <workbookProtection workbookAlgorithmName="SHA-512" workbookHashValue="JbSt7cnCXe3VX9QxQctREIgyO2E7oPasKLeCOHTMNLTcTBQuE5Agw1KkjTQZQAIfGB6/Pt4jZO36kDGscaNAMA==" workbookSaltValue="u8saKWYF4OlkUVEZPWNFww==" workbookSpinCount="100000" lockStructure="1"/>
  <bookViews>
    <workbookView xWindow="28680" yWindow="45" windowWidth="29040" windowHeight="15840" xr2:uid="{00000000-000D-0000-FFFF-FFFF00000000}"/>
  </bookViews>
  <sheets>
    <sheet name="Common Application" sheetId="3" r:id="rId1"/>
    <sheet name="Output" sheetId="9" r:id="rId2"/>
    <sheet name="Dropdowns" sheetId="8" state="hidden" r:id="rId3"/>
    <sheet name="Future phase" sheetId="7" state="hidden" r:id="rId4"/>
  </sheets>
  <definedNames>
    <definedName name="Area_Building">'Common Application'!$I$72</definedName>
    <definedName name="Conversion_to_kBtu_Options">Dropdowns!$H$73:$H$88</definedName>
    <definedName name="Conversion_to_kBtu_Table">Dropdowns!$H$73:$I$88</definedName>
    <definedName name="Embodied_Carbon_Total">'Common Application'!$I$252</definedName>
    <definedName name="Energy_Consumption_Annual_Total">'Common Application'!$H$219</definedName>
    <definedName name="Energy_Production_Annual_Total">'Common Application'!$H$220</definedName>
    <definedName name="Fuel_Source_Carbon_Headers">Dropdowns!$C$73:$C$81</definedName>
    <definedName name="Fuel_Source_Carbon_Table">Dropdowns!$C$73:$D$81</definedName>
    <definedName name="Operational_Carbon_Annual_Total">'Common Application'!$J$221</definedName>
    <definedName name="_xlnm.Print_Area" localSheetId="3">'Future phase'!$B$1:$F$34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73" i="3" l="1"/>
  <c r="E299" i="3"/>
  <c r="G197" i="3" l="1"/>
  <c r="I86" i="3"/>
  <c r="I79" i="3"/>
  <c r="I212" i="3"/>
  <c r="P165" i="3"/>
  <c r="P164" i="3"/>
  <c r="P159" i="3"/>
  <c r="P161" i="3"/>
  <c r="P162" i="3"/>
  <c r="P163" i="3"/>
  <c r="P160" i="3"/>
  <c r="P150" i="3"/>
  <c r="P148" i="3"/>
  <c r="P147" i="3"/>
  <c r="P146" i="3"/>
  <c r="P145" i="3"/>
  <c r="P125" i="3"/>
  <c r="P127" i="3"/>
  <c r="P126" i="3"/>
  <c r="P123" i="3"/>
  <c r="P122" i="3"/>
  <c r="P115" i="3"/>
  <c r="P116" i="3"/>
  <c r="P114" i="3"/>
  <c r="I198" i="3"/>
  <c r="I199" i="3"/>
  <c r="I200" i="3"/>
  <c r="I201" i="3"/>
  <c r="I197" i="3"/>
  <c r="E293" i="3"/>
  <c r="I211" i="3"/>
  <c r="I134" i="3" l="1"/>
  <c r="N205" i="3" l="1"/>
  <c r="M66" i="8"/>
  <c r="C66" i="8"/>
  <c r="B66" i="8"/>
  <c r="A66" i="8"/>
  <c r="M65" i="8"/>
  <c r="C65" i="8"/>
  <c r="B65" i="8"/>
  <c r="A65" i="8"/>
  <c r="M64" i="8"/>
  <c r="C64" i="8"/>
  <c r="B64" i="8"/>
  <c r="A64" i="8"/>
  <c r="M63" i="8"/>
  <c r="C63" i="8"/>
  <c r="B63" i="8"/>
  <c r="A63" i="8"/>
  <c r="M62" i="8"/>
  <c r="C62" i="8"/>
  <c r="B62" i="8"/>
  <c r="A62" i="8"/>
  <c r="M61" i="8"/>
  <c r="C61" i="8"/>
  <c r="B61" i="8"/>
  <c r="A61" i="8"/>
  <c r="M60" i="8"/>
  <c r="C60" i="8"/>
  <c r="B60" i="8"/>
  <c r="A60" i="8"/>
  <c r="M59" i="8"/>
  <c r="C59" i="8"/>
  <c r="B59" i="8"/>
  <c r="A59" i="8"/>
  <c r="C58" i="8"/>
  <c r="B58" i="8"/>
  <c r="A58" i="8"/>
  <c r="M57" i="8"/>
  <c r="C57" i="8"/>
  <c r="B57" i="8"/>
  <c r="A57" i="8"/>
  <c r="M56" i="8"/>
  <c r="C56" i="8"/>
  <c r="B56" i="8"/>
  <c r="A56" i="8"/>
  <c r="M55" i="8"/>
  <c r="C55" i="8"/>
  <c r="B55" i="8"/>
  <c r="A55" i="8"/>
  <c r="M54" i="8"/>
  <c r="C54" i="8"/>
  <c r="B54" i="8"/>
  <c r="A54" i="8"/>
  <c r="M53" i="8"/>
  <c r="C53" i="8"/>
  <c r="B53" i="8"/>
  <c r="A53" i="8"/>
  <c r="M52" i="8"/>
  <c r="C52" i="8"/>
  <c r="B52" i="8"/>
  <c r="A52" i="8"/>
  <c r="M51" i="8"/>
  <c r="C51" i="8"/>
  <c r="B51" i="8"/>
  <c r="A51" i="8"/>
  <c r="M50" i="8"/>
  <c r="C50" i="8"/>
  <c r="B50" i="8"/>
  <c r="A50" i="8"/>
  <c r="M49" i="8"/>
  <c r="C49" i="8"/>
  <c r="B49" i="8"/>
  <c r="A49" i="8"/>
  <c r="M48" i="8"/>
  <c r="C48" i="8"/>
  <c r="B48" i="8"/>
  <c r="A48" i="8"/>
  <c r="M47" i="8"/>
  <c r="C47" i="8"/>
  <c r="B47" i="8"/>
  <c r="A47" i="8"/>
  <c r="M46" i="8"/>
  <c r="C46" i="8"/>
  <c r="B46" i="8"/>
  <c r="A46" i="8"/>
  <c r="M45" i="8"/>
  <c r="C45" i="8"/>
  <c r="B45" i="8"/>
  <c r="A45" i="8"/>
  <c r="M44" i="8"/>
  <c r="C44" i="8"/>
  <c r="B44" i="8"/>
  <c r="A44" i="8"/>
  <c r="M43" i="8"/>
  <c r="C43" i="8"/>
  <c r="B43" i="8"/>
  <c r="A43" i="8"/>
  <c r="M42" i="8"/>
  <c r="C42" i="8"/>
  <c r="B42" i="8"/>
  <c r="A42" i="8"/>
  <c r="M41" i="8"/>
  <c r="C41" i="8"/>
  <c r="B41" i="8"/>
  <c r="A41" i="8"/>
  <c r="M40" i="8"/>
  <c r="C40" i="8"/>
  <c r="B40" i="8"/>
  <c r="A40" i="8"/>
  <c r="M39" i="8"/>
  <c r="C39" i="8"/>
  <c r="B39" i="8"/>
  <c r="A39" i="8"/>
  <c r="M38" i="8"/>
  <c r="C38" i="8"/>
  <c r="B38" i="8"/>
  <c r="A38" i="8"/>
  <c r="M37" i="8"/>
  <c r="C37" i="8"/>
  <c r="B37" i="8"/>
  <c r="A37" i="8"/>
  <c r="M36" i="8"/>
  <c r="C36" i="8"/>
  <c r="B36" i="8"/>
  <c r="A36" i="8"/>
  <c r="M35" i="8"/>
  <c r="C35" i="8"/>
  <c r="B35" i="8"/>
  <c r="A35" i="8"/>
  <c r="M34" i="8"/>
  <c r="C34" i="8"/>
  <c r="B34" i="8"/>
  <c r="A34" i="8"/>
  <c r="M33" i="8"/>
  <c r="C33" i="8"/>
  <c r="B33" i="8"/>
  <c r="A33" i="8"/>
  <c r="M32" i="8"/>
  <c r="C32" i="8"/>
  <c r="B32" i="8"/>
  <c r="A32" i="8"/>
  <c r="M31" i="8"/>
  <c r="C31" i="8"/>
  <c r="B31" i="8"/>
  <c r="A31" i="8"/>
  <c r="M30" i="8"/>
  <c r="C30" i="8"/>
  <c r="B30" i="8"/>
  <c r="A30" i="8"/>
  <c r="M29" i="8"/>
  <c r="C29" i="8"/>
  <c r="B29" i="8"/>
  <c r="A29" i="8"/>
  <c r="M28" i="8"/>
  <c r="C28" i="8"/>
  <c r="B28" i="8"/>
  <c r="A28" i="8"/>
  <c r="M27" i="8"/>
  <c r="C27" i="8"/>
  <c r="B27" i="8"/>
  <c r="A27" i="8"/>
  <c r="L23" i="8"/>
  <c r="I16" i="8"/>
  <c r="I15" i="8"/>
  <c r="I14" i="8"/>
  <c r="C59" i="9" a="1"/>
  <c r="C59" i="9" s="1"/>
  <c r="C58" i="9" a="1"/>
  <c r="C58" i="9" s="1"/>
  <c r="C56" i="9" a="1"/>
  <c r="C56" i="9" s="1"/>
  <c r="C55" i="9"/>
  <c r="C53" i="9" a="1"/>
  <c r="C53" i="9" s="1"/>
  <c r="C52" i="9" a="1"/>
  <c r="C52" i="9" s="1"/>
  <c r="C50" i="9" a="1"/>
  <c r="C50" i="9" s="1"/>
  <c r="C49" i="9" a="1"/>
  <c r="C49" i="9" s="1"/>
  <c r="C47" i="9" a="1"/>
  <c r="C47" i="9" s="1"/>
  <c r="C46" i="9" a="1"/>
  <c r="C46" i="9" s="1"/>
  <c r="C44" i="9" a="1"/>
  <c r="C44" i="9" s="1"/>
  <c r="C43" i="9" a="1"/>
  <c r="C43" i="9" s="1"/>
  <c r="C41" i="9" a="1"/>
  <c r="C41" i="9" s="1"/>
  <c r="C40" i="9" a="1"/>
  <c r="C40" i="9" s="1"/>
  <c r="C38" i="9"/>
  <c r="C37" i="9" a="1"/>
  <c r="C37" i="9" s="1"/>
  <c r="C35" i="9"/>
  <c r="C34" i="9"/>
  <c r="C32" i="9"/>
  <c r="C31" i="9"/>
  <c r="C29" i="9"/>
  <c r="C28" i="9"/>
  <c r="C2" i="9" a="1"/>
  <c r="C2" i="9" s="1"/>
  <c r="H334" i="3"/>
  <c r="H333" i="3"/>
  <c r="P280" i="3"/>
  <c r="P279" i="3"/>
  <c r="P278" i="3"/>
  <c r="P269" i="3"/>
  <c r="P268" i="3"/>
  <c r="P267" i="3"/>
  <c r="P266" i="3"/>
  <c r="P265" i="3"/>
  <c r="P264" i="3"/>
  <c r="P256" i="3"/>
  <c r="P255" i="3"/>
  <c r="P253" i="3"/>
  <c r="P251" i="3"/>
  <c r="P249" i="3"/>
  <c r="P248" i="3"/>
  <c r="P239" i="3"/>
  <c r="P238" i="3"/>
  <c r="P237" i="3"/>
  <c r="P236" i="3"/>
  <c r="P235" i="3"/>
  <c r="G212" i="3"/>
  <c r="H212" i="3" s="1"/>
  <c r="J212" i="3" s="1"/>
  <c r="G211" i="3"/>
  <c r="H211" i="3" s="1"/>
  <c r="G201" i="3"/>
  <c r="H201" i="3" s="1"/>
  <c r="J201" i="3" s="1"/>
  <c r="G200" i="3"/>
  <c r="H200" i="3" s="1"/>
  <c r="J200" i="3" s="1"/>
  <c r="G199" i="3"/>
  <c r="H199" i="3" s="1"/>
  <c r="J199" i="3" s="1"/>
  <c r="G198" i="3"/>
  <c r="H198" i="3" s="1"/>
  <c r="H197" i="3"/>
  <c r="P177" i="3"/>
  <c r="P176" i="3"/>
  <c r="P108" i="3"/>
  <c r="I174" i="3"/>
  <c r="I74" i="3"/>
  <c r="J68" i="3"/>
  <c r="H220" i="3" l="1"/>
  <c r="I220" i="3" s="1"/>
  <c r="J211" i="3"/>
  <c r="J197" i="3"/>
  <c r="H217" i="3" a="1"/>
  <c r="H217" i="3" s="1"/>
  <c r="I217" i="3" s="1"/>
  <c r="J198" i="3"/>
  <c r="J218" i="3" s="1"/>
  <c r="H218" i="3"/>
  <c r="I218" i="3" s="1"/>
  <c r="P170" i="3"/>
  <c r="Q9" i="3" s="1"/>
  <c r="P104" i="3"/>
  <c r="Q6" i="3" s="1"/>
  <c r="P261" i="3"/>
  <c r="Q13" i="3" s="1"/>
  <c r="P275" i="3"/>
  <c r="Q14" i="3" s="1"/>
  <c r="P141" i="3"/>
  <c r="Q7" i="3" s="1"/>
  <c r="P156" i="3"/>
  <c r="Q8" i="3" s="1"/>
  <c r="P231" i="3"/>
  <c r="Q11" i="3" s="1"/>
  <c r="P245" i="3"/>
  <c r="Q12" i="3" s="1"/>
  <c r="D44" i="8"/>
  <c r="T44" i="8" s="1"/>
  <c r="D47" i="8"/>
  <c r="S47" i="8" s="1"/>
  <c r="D50" i="8"/>
  <c r="T50" i="8" s="1"/>
  <c r="D56" i="8"/>
  <c r="S56" i="8" s="1"/>
  <c r="D37" i="8"/>
  <c r="R37" i="8" s="1"/>
  <c r="D62" i="8"/>
  <c r="V62" i="8" s="1"/>
  <c r="D65" i="8"/>
  <c r="V65" i="8" s="1"/>
  <c r="D53" i="8"/>
  <c r="S53" i="8" s="1"/>
  <c r="D27" i="8"/>
  <c r="V27" i="8" s="1"/>
  <c r="D30" i="8"/>
  <c r="T30" i="8" s="1"/>
  <c r="D43" i="8"/>
  <c r="R43" i="8" s="1"/>
  <c r="D52" i="8"/>
  <c r="U52" i="8" s="1"/>
  <c r="D55" i="8"/>
  <c r="R55" i="8" s="1"/>
  <c r="D58" i="8"/>
  <c r="U58" i="8" s="1"/>
  <c r="D29" i="8"/>
  <c r="S29" i="8" s="1"/>
  <c r="D45" i="8"/>
  <c r="T45" i="8" s="1"/>
  <c r="D48" i="8"/>
  <c r="V48" i="8" s="1"/>
  <c r="D63" i="8"/>
  <c r="S63" i="8" s="1"/>
  <c r="D66" i="8"/>
  <c r="V66" i="8" s="1"/>
  <c r="D28" i="8"/>
  <c r="T28" i="8" s="1"/>
  <c r="D31" i="8"/>
  <c r="R31" i="8" s="1"/>
  <c r="D34" i="8"/>
  <c r="U34" i="8" s="1"/>
  <c r="D49" i="8"/>
  <c r="R49" i="8" s="1"/>
  <c r="D61" i="8"/>
  <c r="R61" i="8" s="1"/>
  <c r="D64" i="8"/>
  <c r="V64" i="8" s="1"/>
  <c r="D40" i="8"/>
  <c r="V40" i="8" s="1"/>
  <c r="D59" i="8"/>
  <c r="T59" i="8" s="1"/>
  <c r="D46" i="8"/>
  <c r="U46" i="8" s="1"/>
  <c r="D51" i="8"/>
  <c r="V51" i="8" s="1"/>
  <c r="D54" i="8"/>
  <c r="T54" i="8" s="1"/>
  <c r="D32" i="8"/>
  <c r="R32" i="8" s="1"/>
  <c r="D35" i="8"/>
  <c r="U35" i="8" s="1"/>
  <c r="D38" i="8"/>
  <c r="D41" i="8"/>
  <c r="U41" i="8" s="1"/>
  <c r="D60" i="8"/>
  <c r="V60" i="8" s="1"/>
  <c r="D57" i="8"/>
  <c r="U57" i="8" s="1"/>
  <c r="D33" i="8"/>
  <c r="T33" i="8" s="1"/>
  <c r="D36" i="8"/>
  <c r="V36" i="8" s="1"/>
  <c r="D39" i="8"/>
  <c r="V39" i="8" s="1"/>
  <c r="D42" i="8"/>
  <c r="S42" i="8" s="1"/>
  <c r="J217" i="3" l="1" a="1"/>
  <c r="J217" i="3" s="1"/>
  <c r="J219" i="3" s="1"/>
  <c r="J220" i="3"/>
  <c r="U28" i="8"/>
  <c r="U50" i="8"/>
  <c r="R50" i="8"/>
  <c r="U44" i="8"/>
  <c r="R66" i="8"/>
  <c r="V44" i="8"/>
  <c r="S50" i="8"/>
  <c r="R44" i="8"/>
  <c r="T63" i="8"/>
  <c r="T47" i="8"/>
  <c r="U47" i="8"/>
  <c r="V47" i="8"/>
  <c r="S44" i="8"/>
  <c r="U37" i="8"/>
  <c r="V56" i="8"/>
  <c r="V50" i="8"/>
  <c r="R47" i="8"/>
  <c r="T37" i="8"/>
  <c r="R56" i="8"/>
  <c r="S37" i="8"/>
  <c r="R39" i="8"/>
  <c r="V28" i="8"/>
  <c r="V31" i="8"/>
  <c r="S31" i="8"/>
  <c r="U30" i="8"/>
  <c r="U56" i="8"/>
  <c r="V53" i="8"/>
  <c r="T39" i="8"/>
  <c r="S36" i="8"/>
  <c r="S66" i="8"/>
  <c r="T27" i="8"/>
  <c r="R27" i="8"/>
  <c r="S62" i="8"/>
  <c r="T48" i="8"/>
  <c r="S27" i="8"/>
  <c r="R65" i="8"/>
  <c r="U48" i="8"/>
  <c r="S65" i="8"/>
  <c r="T56" i="8"/>
  <c r="V42" i="8"/>
  <c r="V34" i="8"/>
  <c r="V32" i="8"/>
  <c r="T29" i="8"/>
  <c r="U29" i="8"/>
  <c r="T52" i="8"/>
  <c r="R58" i="8"/>
  <c r="T66" i="8"/>
  <c r="T65" i="8"/>
  <c r="U32" i="8"/>
  <c r="T53" i="8"/>
  <c r="U65" i="8"/>
  <c r="S58" i="8"/>
  <c r="R53" i="8"/>
  <c r="U66" i="8"/>
  <c r="U53" i="8"/>
  <c r="U63" i="8"/>
  <c r="S33" i="8"/>
  <c r="V63" i="8"/>
  <c r="T62" i="8"/>
  <c r="S40" i="8"/>
  <c r="R62" i="8"/>
  <c r="U33" i="8"/>
  <c r="U62" i="8"/>
  <c r="T40" i="8"/>
  <c r="R33" i="8"/>
  <c r="U61" i="8"/>
  <c r="R48" i="8"/>
  <c r="S48" i="8"/>
  <c r="V33" i="8"/>
  <c r="V30" i="8"/>
  <c r="T35" i="8"/>
  <c r="U40" i="8"/>
  <c r="S57" i="8"/>
  <c r="T57" i="8"/>
  <c r="R63" i="8"/>
  <c r="V57" i="8"/>
  <c r="V37" i="8"/>
  <c r="S39" i="8"/>
  <c r="V52" i="8"/>
  <c r="R34" i="8"/>
  <c r="T43" i="8"/>
  <c r="U27" i="8"/>
  <c r="V46" i="8"/>
  <c r="S34" i="8"/>
  <c r="V49" i="8"/>
  <c r="R46" i="8"/>
  <c r="T34" i="8"/>
  <c r="R54" i="8"/>
  <c r="T49" i="8"/>
  <c r="V55" i="8"/>
  <c r="V43" i="8"/>
  <c r="T31" i="8"/>
  <c r="S46" i="8"/>
  <c r="T55" i="8"/>
  <c r="U51" i="8"/>
  <c r="T36" i="8"/>
  <c r="T46" i="8"/>
  <c r="R28" i="8"/>
  <c r="R30" i="8"/>
  <c r="D67" i="8"/>
  <c r="T42" i="8"/>
  <c r="S30" i="8"/>
  <c r="R52" i="8"/>
  <c r="R59" i="8"/>
  <c r="S28" i="8"/>
  <c r="T61" i="8"/>
  <c r="U31" i="8"/>
  <c r="U42" i="8"/>
  <c r="S52" i="8"/>
  <c r="R40" i="8"/>
  <c r="S61" i="8"/>
  <c r="S54" i="8"/>
  <c r="V58" i="8"/>
  <c r="V61" i="8"/>
  <c r="U54" i="8"/>
  <c r="U59" i="8"/>
  <c r="R64" i="8"/>
  <c r="U55" i="8"/>
  <c r="U45" i="8"/>
  <c r="V54" i="8"/>
  <c r="V59" i="8"/>
  <c r="S64" i="8"/>
  <c r="T58" i="8"/>
  <c r="U49" i="8"/>
  <c r="S55" i="8"/>
  <c r="V45" i="8"/>
  <c r="R57" i="8"/>
  <c r="T51" i="8"/>
  <c r="T64" i="8"/>
  <c r="V29" i="8"/>
  <c r="S32" i="8"/>
  <c r="T32" i="8"/>
  <c r="R45" i="8"/>
  <c r="S45" i="8"/>
  <c r="U43" i="8"/>
  <c r="S49" i="8"/>
  <c r="R42" i="8"/>
  <c r="V41" i="8"/>
  <c r="R51" i="8"/>
  <c r="U64" i="8"/>
  <c r="S43" i="8"/>
  <c r="U38" i="8"/>
  <c r="R29" i="8"/>
  <c r="S51" i="8"/>
  <c r="V38" i="8"/>
  <c r="R60" i="8"/>
  <c r="S60" i="8"/>
  <c r="U39" i="8"/>
  <c r="U60" i="8"/>
  <c r="R35" i="8"/>
  <c r="S59" i="8"/>
  <c r="R38" i="8"/>
  <c r="S38" i="8"/>
  <c r="T60" i="8"/>
  <c r="T38" i="8"/>
  <c r="R36" i="8"/>
  <c r="S35" i="8"/>
  <c r="R41" i="8"/>
  <c r="S41" i="8"/>
  <c r="T41" i="8"/>
  <c r="V35" i="8"/>
  <c r="U36" i="8"/>
  <c r="J221" i="3" l="1"/>
  <c r="I135" i="3" s="1"/>
  <c r="I138" i="3" s="1" a="1"/>
  <c r="I138" i="3" s="1"/>
  <c r="I139" i="3" s="1"/>
  <c r="H219" i="3"/>
  <c r="T67" i="8"/>
  <c r="V67" i="8"/>
  <c r="R67" i="8"/>
  <c r="U67" i="8"/>
  <c r="S67" i="8"/>
  <c r="I186" i="3" s="1"/>
  <c r="I187" i="3" s="1"/>
  <c r="I219" i="3" l="1"/>
  <c r="H221" i="3"/>
  <c r="I221" i="3" l="1"/>
  <c r="H222" i="3" s="1"/>
  <c r="P222" i="3" s="1"/>
  <c r="P182" i="3" l="1"/>
  <c r="Q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<sst xmlns="http://schemas.openxmlformats.org/spreadsheetml/2006/main" count="923" uniqueCount="637">
  <si>
    <t>Integration</t>
  </si>
  <si>
    <t>Ecosystems</t>
  </si>
  <si>
    <t>Water</t>
  </si>
  <si>
    <t>Economy</t>
  </si>
  <si>
    <t>Energy</t>
  </si>
  <si>
    <t>Resources</t>
  </si>
  <si>
    <t>Change</t>
  </si>
  <si>
    <t>Discovery</t>
  </si>
  <si>
    <t>COMMON APP FOR</t>
  </si>
  <si>
    <t>DESIGN EXCELLENCE</t>
  </si>
  <si>
    <t>AIA COTE Top Ten Toolkit</t>
  </si>
  <si>
    <t>PROJECT INFORMATION</t>
  </si>
  <si>
    <t>INPUTS</t>
  </si>
  <si>
    <t>UNITS / DEFINITION</t>
  </si>
  <si>
    <t>LINKS / SUPPORT</t>
  </si>
  <si>
    <t>Project Name</t>
  </si>
  <si>
    <t>Client</t>
  </si>
  <si>
    <t>Is client to remain confidential?</t>
  </si>
  <si>
    <t>Address</t>
  </si>
  <si>
    <t>City</t>
  </si>
  <si>
    <t>Country</t>
  </si>
  <si>
    <t>Climate Zone</t>
  </si>
  <si>
    <t>Find your US climate zone here →</t>
  </si>
  <si>
    <t xml:space="preserve">ASHRAE climate zones </t>
  </si>
  <si>
    <t>Find your California climate zone here →</t>
  </si>
  <si>
    <t>CA climate zones</t>
  </si>
  <si>
    <t>Building Type</t>
  </si>
  <si>
    <t>Building use</t>
  </si>
  <si>
    <t>Primary building use | Percent of total area</t>
  </si>
  <si>
    <t>Residential - Multifamily</t>
  </si>
  <si>
    <t>Find building type definitions here →</t>
  </si>
  <si>
    <t>EIA building type definitions</t>
  </si>
  <si>
    <t>Additional building use | Percent of total area (if any)</t>
  </si>
  <si>
    <t>Food - Restaurant</t>
  </si>
  <si>
    <t>Energy baselines are auto generated based on the Zero Tool  →</t>
  </si>
  <si>
    <t>Zero Tool</t>
  </si>
  <si>
    <t>Retail - General</t>
  </si>
  <si>
    <t>← This number should equal 100%</t>
  </si>
  <si>
    <t>Number of Stories</t>
  </si>
  <si>
    <t>GSF</t>
  </si>
  <si>
    <t xml:space="preserve">Site Area </t>
  </si>
  <si>
    <t>SF</t>
  </si>
  <si>
    <t>← This is the intensity of land use (higher is better in a an urban setting)</t>
  </si>
  <si>
    <t>Permit year</t>
  </si>
  <si>
    <t>Total Construction (Building) Cost</t>
  </si>
  <si>
    <t>USD</t>
  </si>
  <si>
    <t>Do not include land acquisition, soft costs, FFE, etc.</t>
  </si>
  <si>
    <t>This auto calculated field can be overwritten</t>
  </si>
  <si>
    <t>Annual hours of operation (during normal use)</t>
  </si>
  <si>
    <t>Typical occupancy</t>
  </si>
  <si>
    <t>People</t>
  </si>
  <si>
    <t xml:space="preserve">Energy reduction </t>
  </si>
  <si>
    <t>Is the submitting firm a signatory of the AIA 2030 Commitment?</t>
  </si>
  <si>
    <t>Learn more about the AIA 2030 Commitment here →</t>
  </si>
  <si>
    <t>AIA 2030</t>
  </si>
  <si>
    <t>Is the project recorded in the AIA 2030 Design Data Exchange (DDx)?</t>
  </si>
  <si>
    <t>Learn more about the DDX here →</t>
  </si>
  <si>
    <t>AIA 2030 DDX</t>
  </si>
  <si>
    <t>Good design elevates any project, no matter how small, with a thoughtful process that delivers both beauty and function in balance. 
It is the element that binds all the principles together with a big idea.</t>
  </si>
  <si>
    <t>Project Summary Statement</t>
  </si>
  <si>
    <t>Client Impact Statement</t>
  </si>
  <si>
    <t>Statement of Design Excellence</t>
  </si>
  <si>
    <t>Design solutions affect more than the client and current occupants. 
Good design positively impacts future occupants and the larger community.</t>
  </si>
  <si>
    <t>Community engagement level</t>
  </si>
  <si>
    <t>Were notable community engagement efforts part of the process? If so, briefly describe them. For all submittals, describe ways in which the project improves or contributes to the surrounding community or natural landscape.</t>
  </si>
  <si>
    <t>Does the project benefit people who are not directly associated with the project?</t>
  </si>
  <si>
    <t>Good design mutually benefits human and nonhuman inhabitants.</t>
  </si>
  <si>
    <t>This will help the jury understand the project's context</t>
  </si>
  <si>
    <t>Answer yes if all exterior lighting is full cutoff and indoor lighting does not leak onto the site at night</t>
  </si>
  <si>
    <t>Design for Ecosystems Narrative</t>
  </si>
  <si>
    <t>Good design conserves and improves the quality of water as a precious resource.</t>
  </si>
  <si>
    <t>Is stormwater managed on site?</t>
  </si>
  <si>
    <t>Answer yes if design strategies prevent most runoff into municipal sewers or natural waterways</t>
  </si>
  <si>
    <t>Projects are encouraged to develop irrigation strategies based on collected or recycled water</t>
  </si>
  <si>
    <t>Is potable water used for cooling?</t>
  </si>
  <si>
    <t>Is grey/blackwater reused on site?</t>
  </si>
  <si>
    <t>Answer yes if recycled water is reused on site, such as for toilet flushing or irrigation</t>
  </si>
  <si>
    <t>Is rainwater collected and stored on site?</t>
  </si>
  <si>
    <t xml:space="preserve">Answer yes if collected water offsets potential potable water use </t>
  </si>
  <si>
    <t>Design for Water Narrative</t>
  </si>
  <si>
    <t>Good design adds value for owners, occupants, community, and planet, regardless of project size and budget.</t>
  </si>
  <si>
    <t>Building efficiency / right sizing</t>
  </si>
  <si>
    <t>Does the project address issues of affordability?</t>
  </si>
  <si>
    <t>If yes, elaborate in the narrative below</t>
  </si>
  <si>
    <t>Does the project reduce built area by designing spaces for multiple purposes?</t>
  </si>
  <si>
    <t>Design for Economy Narrative</t>
  </si>
  <si>
    <t>IECC 2006</t>
  </si>
  <si>
    <t>Benchmark EUI</t>
  </si>
  <si>
    <t>← This is baseline is auto generated based on building type</t>
  </si>
  <si>
    <t>Design for Energy Narrative</t>
  </si>
  <si>
    <t>Good design supports health and well-being for all people, considering physical, mental, and emotional effects on building occupants and the surrounding community.</t>
  </si>
  <si>
    <t>Do regularly occupied spaces have operable windows?</t>
  </si>
  <si>
    <t>Generally, can an occupant easily access fresh air?</t>
  </si>
  <si>
    <t xml:space="preserve">This would most likely take the form of building simulation modeling </t>
  </si>
  <si>
    <t xml:space="preserve">Was ventilation, either natural or mechanical, optimized for occupant health? </t>
  </si>
  <si>
    <t>Were specific toxic chemical intentionally avoided, resulting in material substitutions?</t>
  </si>
  <si>
    <t>Good design depends on informed material selection, balancing priorities to achieve durable, safe, and healthy projects with an equitable, sustainable supply chain to minimize possible negative impacts to the planet.</t>
  </si>
  <si>
    <t xml:space="preserve">Was a whole building environmental Life Cycle Analysis (LCA) conducted? </t>
  </si>
  <si>
    <t>Was local and/or recycled content a major criterion for material selection?</t>
  </si>
  <si>
    <t xml:space="preserve">Answer yes if an analysis of available local or recycled materials influenced design decisions </t>
  </si>
  <si>
    <t>Was wood used on this project FSC certified?</t>
  </si>
  <si>
    <t xml:space="preserve">Answer yes if 95%+ wood is certified </t>
  </si>
  <si>
    <t>Embodied Carbon: What you can do right now→</t>
  </si>
  <si>
    <t>Design for Resources Narrative</t>
  </si>
  <si>
    <t>Adaptability, resilience, and reuse are essential to good design, which seeks to enhance usability, functionality, and value over time.</t>
  </si>
  <si>
    <t>What is the designed lifespan of the building?</t>
  </si>
  <si>
    <t>Answer yes if the structural members are bolted, rather than nailed or welded</t>
  </si>
  <si>
    <t xml:space="preserve">Was future flexibility design into the program? </t>
  </si>
  <si>
    <t xml:space="preserve">Answer yes if the building can be easily used for a different purpose in the future </t>
  </si>
  <si>
    <t xml:space="preserve">Can the building remain useful for the short term without utility power? </t>
  </si>
  <si>
    <t>Answer yes if design features anticipate future climates or social conditions</t>
  </si>
  <si>
    <t>Identity a local risk that the project has been designed to mitigate</t>
  </si>
  <si>
    <t xml:space="preserve">ex: wildfire smoke, flooding, extreme temperatures, etc. </t>
  </si>
  <si>
    <t>Design for Change Narrative</t>
  </si>
  <si>
    <t>This is an important strategy for achieving any of the above performance criteria</t>
  </si>
  <si>
    <t>This is an important strategy for understanding and providing for occupants needs</t>
  </si>
  <si>
    <t xml:space="preserve">Discovery should lead to improvements </t>
  </si>
  <si>
    <t>Design for Discovery Narrative</t>
  </si>
  <si>
    <t>Code</t>
  </si>
  <si>
    <t>2030 year</t>
  </si>
  <si>
    <t>IECC 2009</t>
  </si>
  <si>
    <t>IECC 2012</t>
  </si>
  <si>
    <t>IECC 2015</t>
  </si>
  <si>
    <t>IECC 2018</t>
  </si>
  <si>
    <t>ASHRAE 90.1-2007</t>
  </si>
  <si>
    <t>ASHRAE 90.1-2010</t>
  </si>
  <si>
    <t>Seattle Energy Code 2006 or Prev.</t>
  </si>
  <si>
    <t>Seattle Energy Code 2009</t>
  </si>
  <si>
    <t>Seattle Energy Code 2012</t>
  </si>
  <si>
    <t>Seattle Energy Code 2015</t>
  </si>
  <si>
    <t>California Title-24 2005 for high rise residential</t>
  </si>
  <si>
    <t>California Title-24 2005 for single family</t>
  </si>
  <si>
    <t>California Title-24 2008</t>
  </si>
  <si>
    <t>California Title-24 2013</t>
  </si>
  <si>
    <t>California Title-24 2016</t>
  </si>
  <si>
    <t>California Title-24 2019</t>
  </si>
  <si>
    <t>Oregon Energy Code</t>
  </si>
  <si>
    <t>Washington State Energy Code 2006 or prev.</t>
  </si>
  <si>
    <t>Washington State Energy Code 2009</t>
  </si>
  <si>
    <t>Washington State Energy Code 2012</t>
  </si>
  <si>
    <t>Washington State Energy Code 2015</t>
  </si>
  <si>
    <t>None</t>
  </si>
  <si>
    <t>Project:</t>
  </si>
  <si>
    <t>Energy Benchmarking</t>
  </si>
  <si>
    <t>Carbon Benchmarking</t>
  </si>
  <si>
    <t>Embodied Carbon Benchmarking</t>
  </si>
  <si>
    <t>Water Benchmarking</t>
  </si>
  <si>
    <t>Building type aggregates</t>
  </si>
  <si>
    <r>
      <rPr>
        <b/>
        <sz val="10"/>
        <rFont val="Calibri"/>
        <family val="2"/>
      </rPr>
      <t>Fuel Breakdown Table: lbs. CO2/kBtu for each fuel source</t>
    </r>
    <r>
      <rPr>
        <sz val="10"/>
        <color rgb="FF000000"/>
        <rFont val="Calibri"/>
        <family val="2"/>
      </rPr>
      <t xml:space="preserve">
*Assume natural gas</t>
    </r>
  </si>
  <si>
    <t>Primary Use</t>
  </si>
  <si>
    <t>Secondary Use</t>
  </si>
  <si>
    <t>Tertiary Use</t>
  </si>
  <si>
    <t>All Uses</t>
  </si>
  <si>
    <t>EUI</t>
  </si>
  <si>
    <t>LPD</t>
  </si>
  <si>
    <t>Building Category (Carbon)</t>
  </si>
  <si>
    <t>Electricity</t>
  </si>
  <si>
    <t>Natural gas</t>
  </si>
  <si>
    <t>Fuel oil</t>
  </si>
  <si>
    <t>District heat*</t>
  </si>
  <si>
    <t>Benchmark Carbon
Lbs./sf/yr</t>
  </si>
  <si>
    <t>Building Category (emboded carbon)</t>
  </si>
  <si>
    <r>
      <t>Lbs. CO</t>
    </r>
    <r>
      <rPr>
        <b/>
        <vertAlign val="subscript"/>
        <sz val="10"/>
        <color rgb="FF000000"/>
        <rFont val="Calibri"/>
        <family val="2"/>
      </rPr>
      <t>2</t>
    </r>
    <r>
      <rPr>
        <b/>
        <sz val="10"/>
        <color rgb="FF000000"/>
        <rFont val="Calibri"/>
        <family val="2"/>
      </rPr>
      <t>/sf</t>
    </r>
  </si>
  <si>
    <t>Building Category (Water)</t>
  </si>
  <si>
    <t>Water Use Intensity (Gal/sf/yr)</t>
  </si>
  <si>
    <t>Carbon Breakdown</t>
  </si>
  <si>
    <t>EUI Breakdown</t>
  </si>
  <si>
    <t>Water Breakdown</t>
  </si>
  <si>
    <t>Embodied carbon</t>
  </si>
  <si>
    <t>LPD Breakdown</t>
  </si>
  <si>
    <t>Bank</t>
  </si>
  <si>
    <t>Office</t>
  </si>
  <si>
    <t>Commercial</t>
  </si>
  <si>
    <t>Bar / night club</t>
  </si>
  <si>
    <t>Public assembly</t>
  </si>
  <si>
    <t>Public Assembly</t>
  </si>
  <si>
    <t>Education - College / University</t>
  </si>
  <si>
    <t>Education</t>
  </si>
  <si>
    <t>Educational</t>
  </si>
  <si>
    <t>Convention Center</t>
  </si>
  <si>
    <t>Courthouse</t>
  </si>
  <si>
    <t>Education - K-12 School</t>
  </si>
  <si>
    <t>Education - Other</t>
  </si>
  <si>
    <t>Education - Preschool</t>
  </si>
  <si>
    <t>Food - Fast Food</t>
  </si>
  <si>
    <t>Food service</t>
  </si>
  <si>
    <t>Restaurant**</t>
  </si>
  <si>
    <t>Food - Grocery Store</t>
  </si>
  <si>
    <t>Food sales</t>
  </si>
  <si>
    <t>Grocery Store</t>
  </si>
  <si>
    <t>Food - Sales</t>
  </si>
  <si>
    <t>Grocery Store*</t>
  </si>
  <si>
    <t>Food - Service</t>
  </si>
  <si>
    <t>Laboratory</t>
  </si>
  <si>
    <t>Inpatient</t>
  </si>
  <si>
    <t>Library</t>
  </si>
  <si>
    <t>public assembly</t>
  </si>
  <si>
    <t>Cultural/Institutional</t>
  </si>
  <si>
    <t>Lodging - Hotel</t>
  </si>
  <si>
    <t>Lodging</t>
  </si>
  <si>
    <t>Lodging - Residence Hall</t>
  </si>
  <si>
    <t>Medical - Hospital</t>
  </si>
  <si>
    <t>Healthcare</t>
  </si>
  <si>
    <t>Medical - Office</t>
  </si>
  <si>
    <t>Health care</t>
  </si>
  <si>
    <t>Outpatient</t>
  </si>
  <si>
    <t>Medical - Outpatient surgery</t>
  </si>
  <si>
    <t>Meeting Hall</t>
  </si>
  <si>
    <t>Civic Building</t>
  </si>
  <si>
    <t>Movie Theater</t>
  </si>
  <si>
    <t>Museum</t>
  </si>
  <si>
    <t>Performing arts</t>
  </si>
  <si>
    <t>Public Safety - Police, fire, etc.</t>
  </si>
  <si>
    <t>Public safety</t>
  </si>
  <si>
    <t>Public order and safety</t>
  </si>
  <si>
    <t>Recreation (Visitor Center)</t>
  </si>
  <si>
    <t>Religious Worship</t>
  </si>
  <si>
    <t>Religious worship</t>
  </si>
  <si>
    <t>Religious Worship*</t>
  </si>
  <si>
    <t>Residential - Assisted Living</t>
  </si>
  <si>
    <t>Multifamily</t>
  </si>
  <si>
    <t>Senior Care*</t>
  </si>
  <si>
    <t>Multifamily mid-rise</t>
  </si>
  <si>
    <t>Multifamily Housing</t>
  </si>
  <si>
    <t>Residential - Single family</t>
  </si>
  <si>
    <t>Single Family</t>
  </si>
  <si>
    <t>Single family detached</t>
  </si>
  <si>
    <t>Retail - Box Store</t>
  </si>
  <si>
    <t>Retail (other than mall)</t>
  </si>
  <si>
    <t>Retail*</t>
  </si>
  <si>
    <t>Retail - Convenience Store</t>
  </si>
  <si>
    <t>Retail - Mall</t>
  </si>
  <si>
    <t>Enclosed and strip malls</t>
  </si>
  <si>
    <t>Self Storage</t>
  </si>
  <si>
    <t>Warehouse and storage</t>
  </si>
  <si>
    <t>Services - General</t>
  </si>
  <si>
    <t>Service</t>
  </si>
  <si>
    <t>Mercantile</t>
  </si>
  <si>
    <t>Warehouse</t>
  </si>
  <si>
    <t>Warehouse - Refrigerated</t>
  </si>
  <si>
    <t>SUM</t>
  </si>
  <si>
    <t>The metrics below are not intended to be asked at this time, but some may be added in the future</t>
  </si>
  <si>
    <t>ADDITIONAL PERFORMANCE METRICS</t>
  </si>
  <si>
    <t xml:space="preserve">Percent of indoor potable water reduction </t>
  </si>
  <si>
    <t>%</t>
  </si>
  <si>
    <t>https://www.usgbc.org/RESOURCES/INDOOR-WATER-USE-CALCULATOR</t>
  </si>
  <si>
    <t>Percent of stormwater managed on site</t>
  </si>
  <si>
    <t>Percentage of occupied areas daylit</t>
  </si>
  <si>
    <t>Not sure we have a way to ask about daylighting that is simple</t>
  </si>
  <si>
    <t>Number of Bike racks</t>
  </si>
  <si>
    <t xml:space="preserve">Number of showers </t>
  </si>
  <si>
    <t>Parking Spaces provided</t>
  </si>
  <si>
    <t>Parking Spaces required by code</t>
  </si>
  <si>
    <t>Y/N</t>
  </si>
  <si>
    <t>Is potable water used for irrigation</t>
  </si>
  <si>
    <t>Rainwater reclaimation?</t>
  </si>
  <si>
    <t>Stormwater Quality</t>
  </si>
  <si>
    <t>drop-down</t>
  </si>
  <si>
    <t>Predicted Gross EUI</t>
  </si>
  <si>
    <t>kBTU/SF/Year</t>
  </si>
  <si>
    <t>Actual Gross EUI</t>
  </si>
  <si>
    <t>Percent from Renewable Energy</t>
  </si>
  <si>
    <t>Lighting Power Density</t>
  </si>
  <si>
    <t>Watts/SF</t>
  </si>
  <si>
    <t>Window Wall Ratio</t>
  </si>
  <si>
    <t>Regularly occupied space - percent daylit</t>
  </si>
  <si>
    <t>What percentage have quality views?</t>
  </si>
  <si>
    <t>Do occupants control their lighting levels</t>
  </si>
  <si>
    <t>Number of EPD specd</t>
  </si>
  <si>
    <t>Percentage of construction waste diverted from landfill</t>
  </si>
  <si>
    <t>Total cost of Recycled, regional, with certifications (declare, cradle to Cradle)</t>
  </si>
  <si>
    <t>METRICS BEYOND SCOPE - SEE TOP TEN</t>
  </si>
  <si>
    <t>Occupants Communting by Alternative Transportation</t>
  </si>
  <si>
    <t>Predevelopment Development Vegetated</t>
  </si>
  <si>
    <t>Post Development Vegetated</t>
  </si>
  <si>
    <t>Percentage that is native</t>
  </si>
  <si>
    <t>Percentage that is turf</t>
  </si>
  <si>
    <t>ACOUSTICS</t>
  </si>
  <si>
    <t>VOC</t>
  </si>
  <si>
    <t>CO2</t>
  </si>
  <si>
    <t>Was the building designed for disassembly?</t>
  </si>
  <si>
    <t>USD/GSF</t>
  </si>
  <si>
    <t>Hours/week</t>
  </si>
  <si>
    <t>Answer yes if the images in the design awards submission demonstrate clear design strategies for supporting wildlife</t>
  </si>
  <si>
    <t>GSF/Occupant</t>
  </si>
  <si>
    <t>Energy Code that the project was designed to meet?</t>
  </si>
  <si>
    <t>Estimated EUI based on applicable energy code</t>
  </si>
  <si>
    <t xml:space="preserve">kBtu/sf/yr </t>
  </si>
  <si>
    <t>Cost Per GSF</t>
  </si>
  <si>
    <t>Answer yes if the project is designed to achieve a maximum CO2 of less than 1000ppm</t>
  </si>
  <si>
    <t>Was a post occupancy evaluation planned for or will it be conducted on this project?</t>
  </si>
  <si>
    <t>Was an occupant satisfaction survey planned for or will it be conducted on this project?</t>
  </si>
  <si>
    <t>Were improvements made (or will they be made) during occupancy based on findings?</t>
  </si>
  <si>
    <t>Was the site previously developed?</t>
  </si>
  <si>
    <t>Does the site design align with dark sky standards?</t>
  </si>
  <si>
    <t>2030 Challenge Goal</t>
  </si>
  <si>
    <t>Cost per GSF</t>
  </si>
  <si>
    <t></t>
  </si>
  <si>
    <t>If so, provide an example:</t>
  </si>
  <si>
    <t>LOCATION + SIZE</t>
  </si>
  <si>
    <t>COST DATA</t>
  </si>
  <si>
    <t>USE DATA</t>
  </si>
  <si>
    <t>2030 COMMITMENT + RATING SYSTEM</t>
  </si>
  <si>
    <r>
      <t xml:space="preserve">Measure 1 
</t>
    </r>
    <r>
      <rPr>
        <b/>
        <sz val="16"/>
        <color theme="0"/>
        <rFont val="Arial Nova"/>
        <family val="2"/>
      </rPr>
      <t>Design for Integration</t>
    </r>
  </si>
  <si>
    <t>Total Floor Area</t>
  </si>
  <si>
    <r>
      <t xml:space="preserve">Measure 2 
</t>
    </r>
    <r>
      <rPr>
        <b/>
        <sz val="16"/>
        <color theme="0"/>
        <rFont val="Arial Nova"/>
        <family val="2"/>
      </rPr>
      <t>Design for Equitable Communities</t>
    </r>
  </si>
  <si>
    <t>COMMUNITY ENGAGEMENT</t>
  </si>
  <si>
    <r>
      <t xml:space="preserve">Measure 3 
</t>
    </r>
    <r>
      <rPr>
        <b/>
        <sz val="16"/>
        <color theme="0"/>
        <rFont val="Arial Nova"/>
        <family val="2"/>
      </rPr>
      <t>Design for Ecosystems</t>
    </r>
  </si>
  <si>
    <t>Site Context / Environment</t>
  </si>
  <si>
    <r>
      <t xml:space="preserve">Measure 4 
</t>
    </r>
    <r>
      <rPr>
        <b/>
        <sz val="16"/>
        <color theme="0"/>
        <rFont val="Arial Nova"/>
        <family val="2"/>
      </rPr>
      <t>Design for Water</t>
    </r>
  </si>
  <si>
    <r>
      <t xml:space="preserve">Measure 5
</t>
    </r>
    <r>
      <rPr>
        <b/>
        <sz val="16"/>
        <color theme="0"/>
        <rFont val="Arial Nova"/>
        <family val="2"/>
      </rPr>
      <t>Design for Economy</t>
    </r>
  </si>
  <si>
    <r>
      <t xml:space="preserve">Measure 6
</t>
    </r>
    <r>
      <rPr>
        <b/>
        <sz val="16"/>
        <color theme="0"/>
        <rFont val="Arial Nova"/>
        <family val="2"/>
      </rPr>
      <t>Design for Energy</t>
    </r>
  </si>
  <si>
    <r>
      <rPr>
        <b/>
        <i/>
        <sz val="10"/>
        <color theme="1" tint="0.499984740745262"/>
        <rFont val="Arial Nova"/>
        <family val="2"/>
      </rPr>
      <t xml:space="preserve">Optional prompts: </t>
    </r>
    <r>
      <rPr>
        <i/>
        <sz val="10"/>
        <color theme="1" tint="0.499984740745262"/>
        <rFont val="Arial Nova"/>
        <family val="2"/>
      </rPr>
      <t xml:space="preserve">
- How can the design support the ecological health of its place over time?
- How can the design help users become more aware and connected with the project’s place and regional ecosystem?
- How is the project supporting regional habitat restoration?</t>
    </r>
  </si>
  <si>
    <t>← This autogenerated metric is the project's total energy reduction</t>
  </si>
  <si>
    <r>
      <t xml:space="preserve">Measure 7
</t>
    </r>
    <r>
      <rPr>
        <b/>
        <sz val="16"/>
        <color theme="0"/>
        <rFont val="Arial Nova"/>
        <family val="2"/>
      </rPr>
      <t>Design for Well-Being</t>
    </r>
  </si>
  <si>
    <t>Design for Well-being Narrative</t>
  </si>
  <si>
    <r>
      <t xml:space="preserve">Measure 8
</t>
    </r>
    <r>
      <rPr>
        <b/>
        <sz val="16"/>
        <color theme="0"/>
        <rFont val="Arial Nova"/>
        <family val="2"/>
      </rPr>
      <t>Design for Resources</t>
    </r>
  </si>
  <si>
    <t>If "Other", please specify in the narrative</t>
  </si>
  <si>
    <r>
      <t xml:space="preserve">Measure 9
</t>
    </r>
    <r>
      <rPr>
        <b/>
        <sz val="16"/>
        <color theme="0"/>
        <rFont val="Arial Nova"/>
        <family val="2"/>
      </rPr>
      <t>Design for Change</t>
    </r>
  </si>
  <si>
    <r>
      <t xml:space="preserve">Measure 10
</t>
    </r>
    <r>
      <rPr>
        <b/>
        <sz val="16"/>
        <color theme="0"/>
        <rFont val="Arial Nova"/>
        <family val="2"/>
      </rPr>
      <t>Design for Discovery</t>
    </r>
  </si>
  <si>
    <t>Floor Area Ratio</t>
  </si>
  <si>
    <t>Is air being filtered to protect equipment or to protect occupants? (&gt;MERV 13)</t>
  </si>
  <si>
    <t>Local Risk List</t>
  </si>
  <si>
    <t>If other, list here:</t>
  </si>
  <si>
    <t>Earthquakes</t>
  </si>
  <si>
    <t>Drought</t>
  </si>
  <si>
    <t>Extreme Temperatures</t>
  </si>
  <si>
    <t>Flooding</t>
  </si>
  <si>
    <t>Pandemic / Epidemic</t>
  </si>
  <si>
    <t>Social Unrest</t>
  </si>
  <si>
    <t>Power Outage</t>
  </si>
  <si>
    <t>Grid Instability</t>
  </si>
  <si>
    <t>Other</t>
  </si>
  <si>
    <t>SOCIAL JUSTICE, EQUITY, DIVERSITY, AND INCLUSION</t>
  </si>
  <si>
    <t xml:space="preserve">Equitable
Communities </t>
  </si>
  <si>
    <t>Well-being</t>
  </si>
  <si>
    <t>Community Engagement</t>
  </si>
  <si>
    <t>Percent Native</t>
  </si>
  <si>
    <t>Int'l Dark-Sky Association</t>
  </si>
  <si>
    <t>Does project comply with recognized bird collision deterrence criteria?</t>
  </si>
  <si>
    <t>Existing Ordinances List</t>
  </si>
  <si>
    <t>If yes, identify the standard or legislation used.</t>
  </si>
  <si>
    <t>Lab21 Benchmarking</t>
  </si>
  <si>
    <t>For laboratory buildings, assign 100% of the area to Laboratory  →</t>
  </si>
  <si>
    <t>Zip Code / Postal Code</t>
  </si>
  <si>
    <t>State / Province</t>
  </si>
  <si>
    <t>Percentage of total GSF</t>
  </si>
  <si>
    <t>Structural Systems</t>
  </si>
  <si>
    <t>Concrete</t>
  </si>
  <si>
    <t>Steel</t>
  </si>
  <si>
    <t>Heavy Timber</t>
  </si>
  <si>
    <t>Mass Timber</t>
  </si>
  <si>
    <t>Wood Frame</t>
  </si>
  <si>
    <t>Mix</t>
  </si>
  <si>
    <t>If "Other" or "Mix", please specify in the narrative</t>
  </si>
  <si>
    <t>US Equivalent Zip Codes</t>
  </si>
  <si>
    <t>For proj outside the cont'l US + Hawaii, find your US equivalent climate zone here →</t>
  </si>
  <si>
    <t>Did the project reuse an existing structure?</t>
  </si>
  <si>
    <t>Wood Structure</t>
  </si>
  <si>
    <t>Optimized Concrete Admixtures</t>
  </si>
  <si>
    <t>Reduction in Total Materials</t>
  </si>
  <si>
    <t>Low-Carbon Insulation</t>
  </si>
  <si>
    <t>Low-Carbon Exterior Cladding Material</t>
  </si>
  <si>
    <t>Reduction in Glazing</t>
  </si>
  <si>
    <t>Low-Carbon Refrigerants</t>
  </si>
  <si>
    <t>Embodied Carbon Reduction Strategies</t>
  </si>
  <si>
    <t>Reuse Components</t>
  </si>
  <si>
    <t xml:space="preserve">What percent of the existing structure was reused? </t>
  </si>
  <si>
    <t>Project Scope</t>
  </si>
  <si>
    <t>Equitable Communities Sum</t>
  </si>
  <si>
    <t>Ecosystems Sum</t>
  </si>
  <si>
    <t>Water Sum</t>
  </si>
  <si>
    <t>Economy Sum</t>
  </si>
  <si>
    <t>Energy Sum</t>
  </si>
  <si>
    <t>Well-Being Sum</t>
  </si>
  <si>
    <t>Resources Sum</t>
  </si>
  <si>
    <t>Change Sum</t>
  </si>
  <si>
    <t>Discovery Sum</t>
  </si>
  <si>
    <t>Rounded to the nearest 10%</t>
  </si>
  <si>
    <t>Were design strategies implemented to substantially reduce material or embodied carbon?</t>
  </si>
  <si>
    <t>Passive Functionality</t>
  </si>
  <si>
    <t>No, Not Habitable without Power</t>
  </si>
  <si>
    <t>Yes, Passive Survivability</t>
  </si>
  <si>
    <t>Yes, Fossil Fuel Generator</t>
  </si>
  <si>
    <t>Yes, Renewable Energy w/Battery</t>
  </si>
  <si>
    <t>Select the appropriate resiliency measure using the dropdown</t>
  </si>
  <si>
    <t>Does the project design meet EPA "Water Sense" goals for indoor plumbing fixtures?</t>
  </si>
  <si>
    <t>Reduction from benchmark, including renewables</t>
  </si>
  <si>
    <t>ABC's Bird-Friendly Building Design</t>
  </si>
  <si>
    <t>What percentage of the landscape design is native vegetation?</t>
  </si>
  <si>
    <t>California Climate Zone (if located in California)</t>
  </si>
  <si>
    <t>Describe your project. Emphasize design achievements including design intent and program requirements. Describe specific ways in which you achieved and integrated these goals and requirements and any other distinguishing aspects of your project.</t>
  </si>
  <si>
    <t>Good design reduces energy use and eliminates dependence on fossil fuels while improving building performance, function, comfort, and enjoyment</t>
  </si>
  <si>
    <t>AIA Framework for Design Excellence for detailed strategies</t>
  </si>
  <si>
    <t>Identify the primary structural system</t>
  </si>
  <si>
    <t>If yes, please select from the following:</t>
  </si>
  <si>
    <t>30yrs for stick frame; 100yrs for concrete, steel, heavy timber; 1000yrs for solid masonry</t>
  </si>
  <si>
    <t>Every project presents a unique opportunity to apply lessons learned from previous projects and gather information to refine the design process.</t>
  </si>
  <si>
    <t>Cradle to Cradle</t>
  </si>
  <si>
    <t>Level</t>
  </si>
  <si>
    <t>UL Lense</t>
  </si>
  <si>
    <t>Living Product Challenge</t>
  </si>
  <si>
    <t>Living Building Challenge Red List</t>
  </si>
  <si>
    <t>Six Classes</t>
  </si>
  <si>
    <t>WELL Building Standard</t>
  </si>
  <si>
    <t>Healthier Hospitals Initiative Safer Chemicals</t>
  </si>
  <si>
    <t>Kaiser Permanente Facilities Design Program</t>
  </si>
  <si>
    <t>Harvard's Green Building Standards</t>
  </si>
  <si>
    <t>Living Product Challenge / Living Building Challenge Red List / Declare
HPD Collaborative
Cradle to Cradle / Level / UL Lense
WELL Building Standard
Healthier Hospitals Initiative Safer Chemicals
Kaiser Permanente Facilities Design Program
Harvard's Green Building Standards</t>
  </si>
  <si>
    <t>TEN Key Daylight &amp; Electric Light Metrics</t>
  </si>
  <si>
    <t>Were materials/manufacturers that perpetuate exploitative labor practices avoided?</t>
  </si>
  <si>
    <t>ACCESS</t>
  </si>
  <si>
    <t xml:space="preserve">Such as vinyl, quartz countertops, tropical hardwood, natural gas, etc. </t>
  </si>
  <si>
    <t>Such as child or forced labor, locally or in faraway communities.</t>
  </si>
  <si>
    <t>Does the design accommodate low carbon modes of transit?</t>
  </si>
  <si>
    <t>pollutants in frontline communities?</t>
  </si>
  <si>
    <t>Does the design address inequitable access to nature, exposure to heat, or exposure to</t>
  </si>
  <si>
    <t>Does acoustic design consider the hard of hearing, ESL, and/or neuro-divergent learners?</t>
  </si>
  <si>
    <t>Does the design address passive survivability?</t>
  </si>
  <si>
    <t>GLOBAL IMPACTS</t>
  </si>
  <si>
    <t>What are the aggregate global impacts that arise from the design decision on this project?</t>
  </si>
  <si>
    <t>Describe ways in which the project improved the site to improve the community's resiliency.
Describe the project's approach toward building a high-quality indoor environment that is accessible to all and allows each individual to thrive (Universal Access beyond ADA, choice and variation in furniture, light levels, temperature, or sound levels to accommodate a wide range of human preferences and needs, etc.)</t>
  </si>
  <si>
    <t>Does the site restore, preserve, or increase habitat for local fauna and pollinators?</t>
  </si>
  <si>
    <t>Is potable water used for irrigation, after plants are established?</t>
  </si>
  <si>
    <t>Washington State Energy Code 2018</t>
  </si>
  <si>
    <t>Washington State Energy Code 2021</t>
  </si>
  <si>
    <t>Washington State Energy Code 2024</t>
  </si>
  <si>
    <t>Washington State Energy Code 2027</t>
  </si>
  <si>
    <t>Washington State Energy Code 2030</t>
  </si>
  <si>
    <t>Washington State Energy Code 2033</t>
  </si>
  <si>
    <t>Washington State Energy Code 2036</t>
  </si>
  <si>
    <t>Washington State Energy Code 2039</t>
  </si>
  <si>
    <t>Washington State Energy Code 2042</t>
  </si>
  <si>
    <t>Washington State Energy Code 2045</t>
  </si>
  <si>
    <t>Washington State Energy Code 2048</t>
  </si>
  <si>
    <t>Washington State Energy Code 2051</t>
  </si>
  <si>
    <t>Washington State Energy Code 2054</t>
  </si>
  <si>
    <t>Washington State Energy Code 2057</t>
  </si>
  <si>
    <t>Washington State Energy Code 2060</t>
  </si>
  <si>
    <t>Washington State Energy Code 2063</t>
  </si>
  <si>
    <t>Washington State Energy Code 2066</t>
  </si>
  <si>
    <t>Washington State Energy Code 2069</t>
  </si>
  <si>
    <t>Washington State Energy Code 2072</t>
  </si>
  <si>
    <t>Washington State Energy Code 2075</t>
  </si>
  <si>
    <t>Washington State Energy Code 2078</t>
  </si>
  <si>
    <t>Washington State Energy Code 2081</t>
  </si>
  <si>
    <t>Washington State Energy Code 2084</t>
  </si>
  <si>
    <t>Washington State Energy Code 2087</t>
  </si>
  <si>
    <t>Washington State Energy Code 2090</t>
  </si>
  <si>
    <t>Washington State Energy Code 2093</t>
  </si>
  <si>
    <t>Washington State Energy Code 2096</t>
  </si>
  <si>
    <t>Washington State Energy Code 2099</t>
  </si>
  <si>
    <t>Washington State Energy Code 2102</t>
  </si>
  <si>
    <t>Washington State Energy Code 2105</t>
  </si>
  <si>
    <t>IECC 2021</t>
  </si>
  <si>
    <t>Simulated (Energy Model)</t>
  </si>
  <si>
    <t>Is the building all-electric, except for emergency power supply?</t>
  </si>
  <si>
    <t>Were glazing strategies studied to optimize daylighting, thermal comfort, and visual comfort?</t>
  </si>
  <si>
    <t>Does the design incorporate connections to the outdoors and opportunities for physical activity?</t>
  </si>
  <si>
    <t>Were any specific chemicals of concern avoided during material selection?</t>
  </si>
  <si>
    <t xml:space="preserve">If so, please identify chemicals and describe your approach to material selection in the narrative below. </t>
  </si>
  <si>
    <t>Extreme Hail</t>
  </si>
  <si>
    <t>No Specific Risks Were Addressed</t>
  </si>
  <si>
    <t>Has the design considered the impact of environmental or social risks over the building's lifespan?</t>
  </si>
  <si>
    <t xml:space="preserve">Did you incorporate community engagement into the design process?  If so, how did you apply what you learned from the community engagement process to the building design? </t>
  </si>
  <si>
    <t>Actual (Post-Occupancy Data)</t>
  </si>
  <si>
    <t>How is energy performance being tracked and recorded for this project?</t>
  </si>
  <si>
    <t>Natural Gas</t>
  </si>
  <si>
    <t>Fuel Type</t>
  </si>
  <si>
    <t xml:space="preserve">Does the project avoid products that are harmful to the community where they are extracted or manufactured? </t>
  </si>
  <si>
    <t>(kBTU/yr)</t>
  </si>
  <si>
    <t>Ton</t>
  </si>
  <si>
    <t>DCW - Natural Gas Engine Driven</t>
  </si>
  <si>
    <t>DCW - Natural Gas Absorption</t>
  </si>
  <si>
    <t>Cubic Meters</t>
  </si>
  <si>
    <t>Units</t>
  </si>
  <si>
    <t>kWh</t>
  </si>
  <si>
    <t>Therms</t>
  </si>
  <si>
    <t>DCW - Electric Driven</t>
  </si>
  <si>
    <t>District Steam / Hot Water</t>
  </si>
  <si>
    <t>kBTU</t>
  </si>
  <si>
    <t>Conversion Factor</t>
  </si>
  <si>
    <t>Carbon</t>
  </si>
  <si>
    <t>kBtu Conversion Table</t>
  </si>
  <si>
    <t>Energy Unit</t>
  </si>
  <si>
    <t xml:space="preserve"> Factor</t>
  </si>
  <si>
    <t>kBtu</t>
  </si>
  <si>
    <t>MBtu</t>
  </si>
  <si>
    <t>GJ</t>
  </si>
  <si>
    <t>MWh</t>
  </si>
  <si>
    <t>Lbs</t>
  </si>
  <si>
    <t>kLbs</t>
  </si>
  <si>
    <t>MLbs</t>
  </si>
  <si>
    <t>kg</t>
  </si>
  <si>
    <t>Ton Hours</t>
  </si>
  <si>
    <t>cf</t>
  </si>
  <si>
    <t>ccf</t>
  </si>
  <si>
    <t>kcf</t>
  </si>
  <si>
    <t>National Average Values for Operational Carbon Emissions</t>
  </si>
  <si>
    <t>Fuel Source</t>
  </si>
  <si>
    <t>Emissions Factor
(kg-CO2e/kBtu)</t>
  </si>
  <si>
    <t>Biomass - Wood</t>
  </si>
  <si>
    <t>Propane</t>
  </si>
  <si>
    <t>Fuel Oil</t>
  </si>
  <si>
    <t>(kg-CO2e/yr)</t>
  </si>
  <si>
    <t>Amount</t>
  </si>
  <si>
    <t>How is ON-SITE renewable energy production metered by the project's utility company?</t>
  </si>
  <si>
    <t>Fill in the total energy PRODUCED by fuel type and identify the units of measurement. Use the dropdown menu to make selections where available.</t>
  </si>
  <si>
    <t>Fill in the total energy CONSUMED by fuel type and identify the units of measurement. Use the dropdown menu to make selections where available.</t>
  </si>
  <si>
    <t>Total Energy</t>
  </si>
  <si>
    <t>Total Op.Carbon</t>
  </si>
  <si>
    <t>Renewable Energy Type</t>
  </si>
  <si>
    <t>On-Site Total Produced</t>
  </si>
  <si>
    <t>On-Site Net/Excess</t>
  </si>
  <si>
    <t xml:space="preserve">Learn about how on-site energy is metered by exploring links provided to the right and/or checking with your local utility company. Most utility companies have a webpage that describes how to read your utility bill and how metering is configured. </t>
  </si>
  <si>
    <t>It's Not / Energy Code Minimum</t>
  </si>
  <si>
    <t>Consult</t>
  </si>
  <si>
    <t>Involve</t>
  </si>
  <si>
    <t>Collaborate</t>
  </si>
  <si>
    <t>Empower</t>
  </si>
  <si>
    <t>BENCHMARKING</t>
  </si>
  <si>
    <t>Social Cost of Carbon</t>
  </si>
  <si>
    <t>10-yr Social Cost of Carbon</t>
  </si>
  <si>
    <t>10-yr Social Cost of Carbon Intensity</t>
  </si>
  <si>
    <t>$ / kg CO2e / sf</t>
  </si>
  <si>
    <t>kg CO2e</t>
  </si>
  <si>
    <t>$ / ton CO2e</t>
  </si>
  <si>
    <t>$ / kg CO2e</t>
  </si>
  <si>
    <t>Total Embodied Carbon</t>
  </si>
  <si>
    <t>Total Operational Carbon, Inclusive of Renewables (10-yrs)</t>
  </si>
  <si>
    <t xml:space="preserve"> kg-CO2e</t>
  </si>
  <si>
    <t>Convert results from units reported out by the carbon calculation tool to kg-CO2e→</t>
  </si>
  <si>
    <t>Provide total predicted embodied carbon results</t>
  </si>
  <si>
    <t>Select the check box if the client is to remain confidential</t>
  </si>
  <si>
    <t>← This is baseline is auto generated based on the local energy code selected above</t>
  </si>
  <si>
    <t>Is ON-SITE renewable energy system installed, planned, or not included for the project?</t>
  </si>
  <si>
    <t xml:space="preserve">Does the project have a cooling tower? </t>
  </si>
  <si>
    <t xml:space="preserve">If "Actual" is selected, provide actual usage from utility bills for all consumption AND production. </t>
  </si>
  <si>
    <t>ANNUAL ENERGY CONSUMPTION</t>
  </si>
  <si>
    <t>ANNUAL ENERGY PRODUCTION</t>
  </si>
  <si>
    <t>Electricity Consumption</t>
  </si>
  <si>
    <t>All other Fuel Type Consumption</t>
  </si>
  <si>
    <t>← This metric if autocalculated based on on-site renewables and type of utility metering.</t>
  </si>
  <si>
    <t>Total</t>
  </si>
  <si>
    <t>Energy Use</t>
  </si>
  <si>
    <t>Intensity (EUI)</t>
  </si>
  <si>
    <t>ANNUAL ENERGY + CARBON SUMMARY</t>
  </si>
  <si>
    <t>Net (Consumption-Production)</t>
  </si>
  <si>
    <t>Total Consumption</t>
  </si>
  <si>
    <t>Total Production</t>
  </si>
  <si>
    <t>ASHRAE 90.1-2013</t>
  </si>
  <si>
    <t>ASHRAE 90.1-2016</t>
  </si>
  <si>
    <t>ASHRAE 90.1-2019</t>
  </si>
  <si>
    <t>ASHRAE 90.1-2022</t>
  </si>
  <si>
    <t>v2024.0</t>
  </si>
  <si>
    <t>Energy reduction this year from the Zero Tool baseline based on CBECS 2003</t>
  </si>
  <si>
    <t>ZeroTool</t>
  </si>
  <si>
    <t>If so, record the certification(s) and year(s) achieved (if already certified).</t>
  </si>
  <si>
    <t>Inform</t>
  </si>
  <si>
    <t>Describe how the project came to be, including the client’s goals and what impact the finished project has made on the client, users, and/or the community.</t>
  </si>
  <si>
    <t xml:space="preserve">Does the design include a real-time display of relative humidity, temp, PM2.5, VOCs, and CO2 levels? </t>
  </si>
  <si>
    <r>
      <t>How does the pr</t>
    </r>
    <r>
      <rPr>
        <sz val="10"/>
        <rFont val="Arial Nova"/>
        <family val="2"/>
      </rPr>
      <t xml:space="preserve">oject enhance equity among building occupants? Identify how the project promotes equitable communities. </t>
    </r>
  </si>
  <si>
    <t xml:space="preserve">The spider chart to below is a visual representation of your project's performance as it relates to the AIA's Frameworks for Design Excellence (F4DE). The intent is to use it as a comparative tool where you can quickly visualize areas of strength and opportunities for growth or improvement. Higher performing measures will have longer spokes that reach the outermost concentric circles, while measures that have greater potential will align more with the core of the chart. 
</t>
  </si>
  <si>
    <t>Enter information into the below fields to the best of your knowledge. Fields that are not applicable or where information is unavailable can be left blank. 
Please report any bugs via this link: https://forms.gle/XXKfFB1Gg65PAwjo7. 
All reported issues will be reviewed by the COTE Network, and feedback will be incorporated into the next annual update.</t>
  </si>
  <si>
    <t>EPA Fact Sheet: Social Cost of Carbon</t>
  </si>
  <si>
    <t xml:space="preserve">Brookings Institute: Social Cost of Carbon Proposal </t>
  </si>
  <si>
    <t>Levels of Engagement Defined</t>
  </si>
  <si>
    <t>This form should be completed in 2019 Excel or newer</t>
  </si>
  <si>
    <t xml:space="preserve">Please check that units and fuel types match source document </t>
  </si>
  <si>
    <t>This form was modified by AIACA and may be missing sections required by other AIA component award programs</t>
  </si>
  <si>
    <t>Is the project on track for certification with a third party rating system?</t>
  </si>
  <si>
    <t>In the surrounding community, local economy and/or local ecosystem</t>
  </si>
  <si>
    <t xml:space="preserve">Answer yes, if improving ecological health of the site was an explicit goal of the project. </t>
  </si>
  <si>
    <t xml:space="preserve">If yes, were strategies taken to conserve tower water usage in HVAC systems? </t>
  </si>
  <si>
    <t>Answer yes if all fixtures in the project exceed watersense standards</t>
  </si>
  <si>
    <t>This can de deduced from the project info already provided above</t>
  </si>
  <si>
    <t>For CA Title 2024 energy code 2022 or later, select T24 2019</t>
  </si>
  <si>
    <t>Answer yes if the building is disconnected from gas service</t>
  </si>
  <si>
    <t>Select "planned" if you do not intend to report actual energy generation data</t>
  </si>
  <si>
    <t>List the specific technologies that were used for this building's primary systems (HVAC, lighting, water heating, etc.)</t>
  </si>
  <si>
    <t>Is indoor air filtered with MERV 13 or better for smoke events?</t>
  </si>
  <si>
    <t>High Impact</t>
  </si>
  <si>
    <t>Build Carbon Neutral</t>
  </si>
  <si>
    <t>AIA Design for Adaptability, Deconstruction and Reuse</t>
  </si>
  <si>
    <t>Or, do occupants have access to air quality monitors?</t>
  </si>
  <si>
    <t>Note: The social cost of carbon metric is for your information and reference only.  It represents the global cost to society of your building's embodied and operational emissions, and it auto-calculates based on inputs in Sections 6 and 8.</t>
  </si>
  <si>
    <t xml:space="preserve">Answer yes if you designed according to a specific standard or certification credit related to bird safety (see links at right). </t>
  </si>
  <si>
    <t xml:space="preserve">Does the project incorporate approaches to water conservation that go beyond code (EPACT 1992) requirements? If so, briefly describe them.
</t>
  </si>
  <si>
    <t>WaterSense</t>
  </si>
  <si>
    <t>A bullet or comma-separated list of what systems are actually being installed gives reviewers important context for interpreting the energy data and narrative</t>
  </si>
  <si>
    <t>CARE Tool</t>
  </si>
  <si>
    <t>C.Scale</t>
  </si>
  <si>
    <t>AIACA
Guide to Energy &amp; Carbon Entry in the AIA Common App</t>
  </si>
  <si>
    <t>https://aiacalifornia.org/design-awards-2/understanding-your-buildings-energy-and-carbon/</t>
  </si>
  <si>
    <t>For example, 24/7=168, Weekdays 9-5=40, Weekend 9-5=16. Assume 168 for full-time occupied residential projects. Apply a percent reduction for part time homes.</t>
  </si>
  <si>
    <t>Conditioned space + non-conditioned programmed space. For residential, include habitable/conditioned floors below grade</t>
  </si>
  <si>
    <r>
      <t>Occupancy during normal use. For Residential, include</t>
    </r>
    <r>
      <rPr>
        <b/>
        <i/>
        <sz val="10"/>
        <color theme="0" tint="-0.499984740745262"/>
        <rFont val="Arial Nova"/>
        <family val="2"/>
      </rPr>
      <t xml:space="preserve"> only</t>
    </r>
    <r>
      <rPr>
        <i/>
        <sz val="10"/>
        <color theme="0" tint="-0.499984740745262"/>
        <rFont val="Arial Nova"/>
        <family val="2"/>
      </rPr>
      <t xml:space="preserve"> full-time household members</t>
    </r>
  </si>
  <si>
    <t>Describe this project's approach to sustainability through design. How does the project use architectural design to benefit the occupants, community, and planet. Consider how the design responds to specific and dynamic conditions and explain the project's positive impact.</t>
  </si>
  <si>
    <t>Passive survivability in this context refers to the building envelope being designed to eliminate heat and cold stress</t>
  </si>
  <si>
    <r>
      <rPr>
        <b/>
        <i/>
        <sz val="10"/>
        <color theme="0" tint="-0.499984740745262"/>
        <rFont val="Arial Nova"/>
        <family val="2"/>
      </rPr>
      <t xml:space="preserve">Optional prompts:
</t>
    </r>
    <r>
      <rPr>
        <i/>
        <sz val="10"/>
        <color theme="0" tint="-0.499984740745262"/>
        <rFont val="Arial Nova"/>
        <family val="2"/>
      </rPr>
      <t>- Place the cost/GSF number in context
- Methods the project used to provide more with less
- Consider design strategies used to get multiple uses out of one space
- Cost saving strategies that result in a better project
-Design strategies for use of efficient structural systems
-Modular or pre-fabricated construction methods employed to reduce construction time and/or labor costs</t>
    </r>
  </si>
  <si>
    <r>
      <rPr>
        <b/>
        <i/>
        <sz val="10"/>
        <color theme="0" tint="-0.499984740745262"/>
        <rFont val="Arial Nova"/>
        <family val="2"/>
      </rPr>
      <t>Optional prompts:</t>
    </r>
    <r>
      <rPr>
        <i/>
        <sz val="10"/>
        <color theme="0" tint="-0.499984740745262"/>
        <rFont val="Arial Nova"/>
        <family val="2"/>
      </rPr>
      <t xml:space="preserve">
- Enclosure / glazing strategies
- Solar and renewable strategies 
- User education and operational strategies 
- Equipment strategies   - Energy model use and response during design
-Describe any clarifications on energy reduction from benchmark
-Is a battery storage system installed for peak demand control/load shifting?</t>
    </r>
  </si>
  <si>
    <r>
      <rPr>
        <b/>
        <i/>
        <sz val="10"/>
        <color theme="0" tint="-0.499984740745262"/>
        <rFont val="Arial Nova"/>
        <family val="2"/>
      </rPr>
      <t>Optional prompts:</t>
    </r>
    <r>
      <rPr>
        <i/>
        <sz val="10"/>
        <color theme="0" tint="-0.499984740745262"/>
        <rFont val="Arial Nova"/>
        <family val="2"/>
      </rPr>
      <t xml:space="preserve">
- Human health: toxicity, chemicals of concern
- Daylight metrics used (sDA, ASE, UDI, etc)– link to explanation, calculator
- Was a spatial daylighting analysis performed to ensure spaces were properly lit while also addressing glare reduction?
-Does the project contain any biophilic design strategies?
- Natural ventilation, outdoor air strategies</t>
    </r>
  </si>
  <si>
    <r>
      <rPr>
        <b/>
        <i/>
        <sz val="10"/>
        <color theme="0" tint="-0.499984740745262"/>
        <rFont val="Arial Nova"/>
        <family val="2"/>
      </rPr>
      <t>Optional prompts:</t>
    </r>
    <r>
      <rPr>
        <i/>
        <sz val="10"/>
        <color theme="0" tint="-0.499984740745262"/>
        <rFont val="Arial Nova"/>
        <family val="2"/>
      </rPr>
      <t xml:space="preserve">
- Innovative sourcing of materials                   - Reuse or use of recycled materials
- Efficient use of materials? Finishes?             - Building reuse
- Low carbon concrete or other low embodied carbon strategies
- What factors (priorities) were considered in making material selection decisions?  
- How do project materials and products reduce embodied carbon and environmental impacts?  
- How does the project promote zero waste throughout its life cycle?  
- How long will the project last, and how does that affect your material?
-Were measures put in place or construction strategies employed to limit construction waste? (Landfill diversion, material salvaging, pre-fabricated/modular construction, pre-cut lumber packages, etc.?)</t>
    </r>
  </si>
  <si>
    <r>
      <rPr>
        <b/>
        <i/>
        <sz val="10"/>
        <color theme="0" tint="-0.499984740745262"/>
        <rFont val="Arial Nova"/>
        <family val="2"/>
      </rPr>
      <t>Optional prompts:</t>
    </r>
    <r>
      <rPr>
        <i/>
        <sz val="10"/>
        <color theme="0" tint="-0.499984740745262"/>
        <rFont val="Arial Nova"/>
        <family val="2"/>
      </rPr>
      <t xml:space="preserve">
- Strategies for future change/adaptation
- How does the project address future risks and vulnerabilities from social, economic, and environmental change?
- How is the project designed for adaptation to anticipate future uses or changing markets?
- How does the project address passive survivability and/or livability?
-Were wildlife prevention strategies employed? (Landscape defensible space, fuel management plans, non-combustible exterior materials, etc.?)</t>
    </r>
  </si>
  <si>
    <r>
      <rPr>
        <b/>
        <i/>
        <sz val="10"/>
        <color theme="0" tint="-0.499984740745262"/>
        <rFont val="Arial Nova"/>
        <family val="2"/>
      </rPr>
      <t>Optional prompts:</t>
    </r>
    <r>
      <rPr>
        <i/>
        <sz val="10"/>
        <color theme="0" tint="-0.499984740745262"/>
        <rFont val="Arial Nova"/>
        <family val="2"/>
      </rPr>
      <t xml:space="preserve">
- Strategies for future change/adaptation
- Lesson learned – what would you do differently?
- How did the project’s design process foster a long-term relationship between designers, users, and operators to ensure design intentions are realized and the building project performance can improve over time?
- Was a post occupancy evaluation planned for or conducted on this project? If not, how are the project’s performance data and experiential stories shared, even if the findings fall short of the vision?
- What design strategies promote a sense of discovery and delight?
-Were innovative sustainable design strategies, systems, materials or methods explored during the design process?
-Were consultants, contractors and/or wendors introduced to strategies they were previously unfamilar with?
-Were innovative sustainable design strategies, systems, materials or methods explored during the design process?
-Were consultants, contractors and/or vendors introduced to strategies they were previously unfamiliar with?</t>
    </r>
  </si>
  <si>
    <t>MLK+PCH</t>
  </si>
  <si>
    <t>Mercy Housing</t>
  </si>
  <si>
    <t>941 E Pacific Coast Highway</t>
  </si>
  <si>
    <t>Long Beach</t>
  </si>
  <si>
    <t>CA</t>
  </si>
  <si>
    <t>United States</t>
  </si>
  <si>
    <t>CA6</t>
  </si>
  <si>
    <t>3C</t>
  </si>
  <si>
    <t>New Construction</t>
  </si>
  <si>
    <t>Yes</t>
  </si>
  <si>
    <t>LEED Gold 2024</t>
  </si>
  <si>
    <t>Urban</t>
  </si>
  <si>
    <t>No</t>
  </si>
  <si>
    <t>n/a</t>
  </si>
  <si>
    <t>N/A</t>
  </si>
  <si>
    <t>60yrs</t>
  </si>
  <si>
    <t xml:space="preserve">The MLK+PCH development is an urban revitalization project in Long Beach, California. It transforms a previously vacant lot and automotive garage into a thriving mixed-use community aimed at benefiting the neighborhood.
The development focuses on providing affordable senior housing on the upper floors. Meanwhile, the ground floor is a multi-purpose space, including a non-profit partner, resident services, lobby known as the “porch”, and bike amenity, intended to foster community engagement.
Architecturally, the project takes inspiration from the streamline moderne style of nearby revered educational institutions, Long Beach City College and Long Beach Polytechnic High School. This creates a sense of neighborhood continuity and pride by using architectural styles familiar in existing larger scale buildings. Resident amenities include at the podium a communal garden with potting area, outdoor seating with fire pit, and a shared lounge. This encourages natural interaction and bonding amongst residents. The development also plays a role in the local arts corridor developing along Martin Luther King Boulevard, with three murals celebrating the area’s heritage. The highlight mural at the corner of MLK+PCH pays homage to world famous VIP records located across the street, a hip-hop landmark and the birthplace of G-Funk and the neighborhood’s established African-American community. </t>
  </si>
  <si>
    <t>The project was initiated through a City RFP process. Teaming with our client, Mercy Housing, a successful project narrative was established integrating art that met Mercy's goal of building a vibrant mixed-use development providing dignified affordable housing for seniors, 34 of which allocated for formerly homeless, while also designing a project integrated into the character of the existing community. Although the city's zoning code required retail along Pacific Coast Highway, we advocated that a design of active ground floor uses was more essential for the neighborhood, and instead designed for a mailroom, bike amenity, lobby, and resident service spaces along the street frontage. Partnering with a non-profit, The Do Good Daniels Foundation, to reside on the remaining ground floor that provides supportive services for youth and also allows the opportunity for seniors to interact and engage.
The building massing responds to community concerns regarding height and is designed to gracefully step down towards the adjacent single-family homes. The second-floor courtyard space is shielded from adjacent properties by lush landscape. This resulted in unanimous support during the public approval process. The project now evokes community pride serving as a backdrop for media during neighborhood events, parades and gatherings.</t>
  </si>
  <si>
    <t>Sustainability is a key focus, with the project achieving LEED Gold certification. The building utilizes roof-mounted solar thermal design, passive ventilation within all residential units, and all-electric appliances throughout. Since private resident balconies were not desirable along the busy southern street frontage, the north side is designed for ample tranquil outdoor space in the courtyard with resident community gardens where seniors can grow their flowers, fruits and vegetables. A citrus allée provides seniors with crops adjacent to an outdoor covered potting area offering a place for residents to work on their plants. An adjacent indoor communal lounge and kitchen space can be used for cooking lessons associated with garden harvests.
The ground floor hosts Do Good Daniels Foundation, a non-profit organization that supports youth and their families, allowing seniors to engage in programs.  The alleyway adjacent to the development is improved with landscaping, including trees and a bamboo hedge. New street trees are planted along the remaining street frontages, including six trees along Pacific Coast Highway to enhance pedestrian comfort. A bus stop with high-frequency routes is located in front of the building linking residents to multiple destinations and within a 1/2 mile of the LA Metro A-Line</t>
  </si>
  <si>
    <t>Community engagement began early in the design process and continued through completion of construction. Teaming with our client, multiple community outreach meetings were held throughout the entitlement process. Input influenced the design by increasing the height along the corridor, stepping down massing towards the existing neighborhood and embracing architectural styles from local institutions. Also, alley improvements such as a landscape buffer along the northern property edge mitigated neighbors’ concerns about noise and privacy. A public engagement process was held during the selection of the building muralists ensuring local input was an integral part of the feature art.</t>
  </si>
  <si>
    <t>Integration of the non-profit Do Good Daniels on the ground floor provides community benefit, focusing on services for at-risk youth including job placement, a safe place to do homework, providing programs to keep youth off the streets, and multigenerational mixing with resident seniors. New street trees provide shade for pedestrians and art provides community pride and place. The construction project required prevailing wage for all workers. In meeting LEED Gold requirements, no tropical wood is used, non-paper backed drywall used, no quartz countertops used and while not required at the time all-electric appliances are used throughout residential units.</t>
  </si>
  <si>
    <t>All residential units and common amenity areas are designed with mobility features to meet Universal Design Guidelines allowing access without needing to adapt. These features include lower accessible storage areas and countertops within kitchens, grab bars within bathrooms, and roll-in showers in 10% of the units. In residential corridors grab bars are provided, windows are integrated to allow orientation and natural light, and benches are strategically located along corridors to allow places to rest. 10% of the units are also designed for visual and hearing-impaired residents and all residential units are designed with heating and cooling.</t>
  </si>
  <si>
    <t xml:space="preserve">
The project revitalized a suburban site along PCH which previously contained an old automotive garage and a vacant dirt lot. The design enhances an existing adjacent alleyway with drought tolerant landscaping, including trees and a bamboo hedge along the property line. New trees are also planted along all three street frontages, including six trees along PCH providing pedestrian comfort. The northern edge of the property is a designated courtyard with resident community gardens for seniors to grow their own flowers, fruits and vegetables. The remaining planting utilizes drought tolerant landscape intended to attract and foster pollinators.</t>
  </si>
  <si>
    <t>The building storm water is diverted into four underground cisterns and then pumped to a modular wetland biofiltration system prior to disposing into the public storm drain system. The wetlands system is integrated into the landscape design. Drip irrigation was utilized for water efficiency and plant species were selected for hardiness, architectural character, ability to attract pollinators, and their ability to thrive only on natural rainfall after establishment. Organic compost and mulch were incorporated to improve soil health, reduce evaporative water loss, minimize weeds, and support overall plant health. All plumbing fixtures on the project are water efficient fixtures.</t>
  </si>
  <si>
    <t>The development provides affordable housing for seniors, with 34 units allocated for the formerly unhoused. The ground floor lobby serves several uses to remain active such as a lounge, mailroom and front porch for residents to safely watch street activity and wait for transit with a stop directly outside. The corridor serving offices runs along the storefront providing privacy and greater thermal comfort for employees. A covered potting area and fire pit with chairs serves as informal spaces for residents to interact. The community room is designed as a flex space allowing for numerous seating configurations for varied events.</t>
  </si>
  <si>
    <t>The design includes features promoting active living for seniors, such as an exterior decorative stair along MLK Boulevard and a second  outdoor stair that provides direct access to the courtyard. In addition to all residential units having full height operable windows in the bedroom and living spaces, all corridors also have windows connecting residents to daylight and place. The courtyard is intentionally located on the northern edge to leverage connection to nature with tree top and mountain views beyond. The space is also shielded from the high-trafficked PCH while taking advantage of lower-level northern sun exposure for sensitive seniors.</t>
  </si>
  <si>
    <t>The project is designed to meet the California Building Code for earthquakes. Other than the community garden, all landscape is drought tolerant to minimize water usage. The ground floor is designed as an open structural grid allowing flexible demising and uses. Currently, half the ground floor is designated for resident services, but if no longer needed, this space could be leased separately for both office or retail use. Similarly, the other half of the ground floor can be divided into two separate tenants. Parking, loading and trash for future uses is already accommodated into the development.</t>
  </si>
  <si>
    <t>Our engagement continues after building occupancy, as an integrated studio of architecture and landscape design, both work groups have visited to engage with residents. This includes teaching best practices at a planting kick-off and volunteering at the annual holiday party. By building trust, we have learned the lobby front porch and outdoor stair concepts have been well received and incorporated into a resident walking loop. One request that may be considered longer term if the ground floor space becomes available is the addition of a fitness space.</t>
  </si>
  <si>
    <t>Not Included</t>
  </si>
  <si>
    <t>High performance glazing where possible, high efficiency HVAC equipment in all spaces, high R-value insulation, solar thermal offsets for DHW, and high efficacy lighting in all spaces were all measures that contributed to the overall energy performance improvements of the project.</t>
  </si>
  <si>
    <t>In addition to the measures above, the project also pursued LEED for Homes certification, which involved rigorous onsite verifications for quality insulation installation, commissioning, and HERS testing of all major equipment. The certification also motivated the use of low-flow water fixtures, responsible material acquisition and waste management, and low-carbon effects via reduced transportation needs due to local community resources and transit options.</t>
  </si>
  <si>
    <t>The building was designed with resiliency in mind, and the LEED certification for the project enforces this concept by promoting durability management practices regarding water, materials, and smart landscaping techniques. Additionally, the increased building performance and efficiencies of energy-consuming systems will reduce the need for repairs and replacements over time.
The project also utilizes a mixture of concrete, wood, and metal-framing all throughout to enforce a stronger building lifecycle.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</si>
</sst>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0.0"/>
    <numFmt numFmtId="165" formatCode="0.000"/>
    <numFmt numFmtId="166" formatCode="&quot;$&quot;#,##0.00"/>
    <numFmt numFmtId="167" formatCode="&quot;$&quot;#,##0"/>
    <numFmt numFmtId="168" formatCode="#,##0.0"/>
  </numFmts>
  <fonts count="60" x14ac:knownFonts="1">
    <font>
      <sz val="11"/>
      <color theme="1"/>
      <name val="Calibri"/>
      <family val="2"/>
      <scheme val="minor"/>
    </font>
    <font>
      <u/>
      <sz val="11"/>
      <color theme="10"/>
      <name val="Calibri"/>
      <family val="2"/>
      <scheme val="minor"/>
    </font>
    <font>
      <sz val="11"/>
      <color theme="1"/>
      <name val="Calibri"/>
      <family val="2"/>
      <scheme val="minor"/>
    </font>
    <font>
      <b/>
      <sz val="11"/>
      <color rgb="FFFA7D00"/>
      <name val="Calibri"/>
      <family val="2"/>
      <scheme val="minor"/>
    </font>
    <font>
      <sz val="10"/>
      <color rgb="FF000000"/>
      <name val="Arial Nova"/>
      <family val="2"/>
    </font>
    <font>
      <sz val="10"/>
      <color theme="1"/>
      <name val="Arial Nova"/>
      <family val="2"/>
    </font>
    <font>
      <b/>
      <sz val="10"/>
      <color rgb="FF000000"/>
      <name val="Calibri"/>
      <family val="2"/>
    </font>
    <font>
      <b/>
      <sz val="10"/>
      <name val="Calibri"/>
      <family val="2"/>
    </font>
    <font>
      <sz val="10"/>
      <name val="Calibri"/>
      <family val="2"/>
    </font>
    <font>
      <sz val="10"/>
      <color rgb="FF000000"/>
      <name val="Calibri"/>
      <family val="2"/>
    </font>
    <font>
      <b/>
      <vertAlign val="subscript"/>
      <sz val="10"/>
      <color rgb="FF000000"/>
      <name val="Calibri"/>
      <family val="2"/>
    </font>
    <font>
      <b/>
      <sz val="10"/>
      <color theme="1"/>
      <name val="Arial Nova"/>
      <family val="2"/>
    </font>
    <font>
      <b/>
      <sz val="10"/>
      <name val="Arial Nova"/>
      <family val="2"/>
    </font>
    <font>
      <sz val="10"/>
      <color theme="0"/>
      <name val="Arial Nova"/>
      <family val="2"/>
    </font>
    <font>
      <b/>
      <i/>
      <sz val="10"/>
      <color theme="1"/>
      <name val="Arial Nova"/>
      <family val="2"/>
    </font>
    <font>
      <u/>
      <sz val="10"/>
      <color theme="10"/>
      <name val="Arial Nova"/>
      <family val="2"/>
    </font>
    <font>
      <sz val="10"/>
      <color theme="0" tint="-0.499984740745262"/>
      <name val="Arial Nova"/>
      <family val="2"/>
    </font>
    <font>
      <i/>
      <sz val="10"/>
      <color rgb="FFFF0000"/>
      <name val="Arial Nova"/>
      <family val="2"/>
    </font>
    <font>
      <sz val="10"/>
      <name val="Arial Nova"/>
      <family val="2"/>
    </font>
    <font>
      <i/>
      <sz val="10"/>
      <name val="Arial Nova"/>
      <family val="2"/>
    </font>
    <font>
      <sz val="10"/>
      <color theme="0" tint="-0.34998626667073579"/>
      <name val="Arial Nova"/>
      <family val="2"/>
    </font>
    <font>
      <b/>
      <sz val="10"/>
      <color theme="0" tint="-0.34998626667073579"/>
      <name val="Arial Nova"/>
      <family val="2"/>
    </font>
    <font>
      <i/>
      <sz val="10"/>
      <color theme="0" tint="-0.499984740745262"/>
      <name val="Arial Nova"/>
      <family val="2"/>
    </font>
    <font>
      <sz val="10"/>
      <color theme="8" tint="-0.499984740745262"/>
      <name val="Arial Nova"/>
      <family val="2"/>
    </font>
    <font>
      <sz val="10"/>
      <color theme="6" tint="-0.499984740745262"/>
      <name val="Arial Nova"/>
      <family val="2"/>
    </font>
    <font>
      <sz val="10"/>
      <color rgb="FFFF0000"/>
      <name val="Arial Nova"/>
      <family val="2"/>
    </font>
    <font>
      <sz val="22"/>
      <color theme="0"/>
      <name val="Arial Nova"/>
      <family val="2"/>
    </font>
    <font>
      <sz val="10"/>
      <color theme="1" tint="4.9989318521683403E-2"/>
      <name val="Arial Nova"/>
      <family val="2"/>
    </font>
    <font>
      <sz val="11"/>
      <color rgb="FFFF0000"/>
      <name val="Calibri"/>
      <family val="2"/>
      <scheme val="minor"/>
    </font>
    <font>
      <sz val="8"/>
      <name val="Calibri"/>
      <family val="2"/>
      <scheme val="minor"/>
    </font>
    <font>
      <b/>
      <sz val="16"/>
      <color theme="0"/>
      <name val="Arial Nova"/>
      <family val="2"/>
    </font>
    <font>
      <sz val="11"/>
      <color theme="1"/>
      <name val="Arial"/>
      <family val="2"/>
    </font>
    <font>
      <sz val="10"/>
      <color theme="1" tint="0.499984740745262"/>
      <name val="Arial Nova"/>
      <family val="2"/>
    </font>
    <font>
      <u/>
      <sz val="10"/>
      <name val="Arial Nova"/>
      <family val="2"/>
    </font>
    <font>
      <sz val="11"/>
      <name val="Calibri"/>
      <family val="2"/>
      <scheme val="minor"/>
    </font>
    <font>
      <b/>
      <sz val="10"/>
      <color theme="0"/>
      <name val="Arial Nova"/>
      <family val="2"/>
    </font>
    <font>
      <u/>
      <sz val="11"/>
      <color theme="0"/>
      <name val="Calibri"/>
      <family val="2"/>
      <scheme val="minor"/>
    </font>
    <font>
      <sz val="16"/>
      <color theme="0"/>
      <name val="Arial Nova"/>
      <family val="2"/>
    </font>
    <font>
      <u/>
      <sz val="10"/>
      <color theme="0"/>
      <name val="Arial Nova"/>
      <family val="2"/>
    </font>
    <font>
      <b/>
      <i/>
      <sz val="10"/>
      <color theme="0"/>
      <name val="Arial Nova"/>
      <family val="2"/>
    </font>
    <font>
      <sz val="10"/>
      <color theme="1" tint="0.499984740745262"/>
      <name val="Wingdings 3"/>
      <family val="1"/>
      <charset val="2"/>
    </font>
    <font>
      <sz val="10"/>
      <name val="Wingdings 3"/>
      <family val="1"/>
      <charset val="2"/>
    </font>
    <font>
      <i/>
      <sz val="10"/>
      <color theme="1" tint="0.499984740745262"/>
      <name val="Arial Nova"/>
      <family val="2"/>
    </font>
    <font>
      <i/>
      <sz val="10"/>
      <color theme="1"/>
      <name val="Arial Nova"/>
      <family val="2"/>
    </font>
    <font>
      <i/>
      <u/>
      <sz val="10"/>
      <color theme="10"/>
      <name val="Arial Nova"/>
      <family val="2"/>
    </font>
    <font>
      <b/>
      <i/>
      <sz val="10"/>
      <color theme="1" tint="0.499984740745262"/>
      <name val="Arial Nova"/>
      <family val="2"/>
    </font>
    <font>
      <b/>
      <i/>
      <sz val="10"/>
      <color theme="0" tint="-0.499984740745262"/>
      <name val="Arial Nova"/>
      <family val="2"/>
    </font>
    <font>
      <sz val="10"/>
      <color theme="0" tint="-4.9989318521683403E-2"/>
      <name val="Arial Nova"/>
      <family val="2"/>
    </font>
    <font>
      <i/>
      <sz val="10"/>
      <color theme="0"/>
      <name val="Arial Nova"/>
      <family val="2"/>
    </font>
    <font>
      <b/>
      <sz val="10"/>
      <color theme="0" tint="-4.9989318521683403E-2"/>
      <name val="Arial Nova"/>
      <family val="2"/>
    </font>
    <font>
      <b/>
      <sz val="10"/>
      <color theme="0" tint="-4.9989318521683403E-2"/>
      <name val="Arial"/>
      <family val="2"/>
    </font>
    <font>
      <sz val="10"/>
      <color theme="0" tint="-4.9989318521683403E-2"/>
      <name val="Arial"/>
      <family val="2"/>
    </font>
    <font>
      <sz val="11"/>
      <color theme="0"/>
      <name val="Calibri"/>
      <family val="2"/>
      <scheme val="minor"/>
    </font>
    <font>
      <u/>
      <sz val="10"/>
      <color theme="0" tint="-4.9989318521683403E-2"/>
      <name val="Calibri"/>
      <family val="2"/>
    </font>
    <font>
      <sz val="10"/>
      <color theme="0" tint="-4.9989318521683403E-2"/>
      <name val="Calibri"/>
      <family val="2"/>
    </font>
    <font>
      <b/>
      <sz val="10"/>
      <color rgb="FFFFFF00"/>
      <name val="Arial Nova"/>
      <family val="2"/>
    </font>
    <font>
      <sz val="10"/>
      <color rgb="FFEF3031"/>
      <name val="Arial Nova"/>
      <family val="2"/>
    </font>
    <font>
      <u/>
      <sz val="10"/>
      <color rgb="FFEF3031"/>
      <name val="Arial Nova"/>
      <family val="2"/>
    </font>
    <font>
      <u/>
      <sz val="11"/>
      <name val="Calibri"/>
      <family val="2"/>
      <scheme val="minor"/>
    </font>
    <font>
      <i/>
      <u/>
      <sz val="10"/>
      <color theme="0" tint="-0.499984740745262"/>
      <name val="Arial Nova"/>
      <family val="2"/>
    </font>
  </fonts>
  <fills count="23">
    <fill>
      <patternFill patternType="none"/>
    </fill>
    <fill>
      <patternFill patternType="gray125"/>
    </fill>
    <fill>
      <patternFill patternType="solid">
        <fgColor theme="2" tint="-0.749992370372631"/>
        <bgColor indexed="64"/>
      </patternFill>
    </fill>
    <fill>
      <patternFill patternType="solid">
        <fgColor theme="2" tint="-0.499984740745262"/>
        <bgColor indexed="64"/>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2" tint="-9.9978637043366805E-2"/>
        <bgColor rgb="FFAECAD0"/>
      </patternFill>
    </fill>
    <fill>
      <patternFill patternType="solid">
        <fgColor theme="2" tint="-9.9978637043366805E-2"/>
        <bgColor indexed="64"/>
      </patternFill>
    </fill>
    <fill>
      <patternFill patternType="solid">
        <fgColor theme="2" tint="-9.9978637043366805E-2"/>
        <bgColor rgb="FF76A5AF"/>
      </patternFill>
    </fill>
    <fill>
      <patternFill patternType="solid">
        <fgColor theme="2" tint="-9.9978637043366805E-2"/>
        <bgColor rgb="FFFFE599"/>
      </patternFill>
    </fill>
    <fill>
      <patternFill patternType="solid">
        <fgColor theme="2" tint="-9.9978637043366805E-2"/>
        <bgColor rgb="FFB7CDD1"/>
      </patternFill>
    </fill>
    <fill>
      <patternFill patternType="solid">
        <fgColor rgb="FFFFFFFF"/>
        <bgColor rgb="FFFFFFFF"/>
      </patternFill>
    </fill>
    <fill>
      <patternFill patternType="solid">
        <fgColor theme="2" tint="-0.249977111117893"/>
        <bgColor rgb="FFFFFFFF"/>
      </patternFill>
    </fill>
    <fill>
      <patternFill patternType="solid">
        <fgColor theme="2" tint="-9.9978637043366805E-2"/>
        <bgColor rgb="FFCCCCCC"/>
      </patternFill>
    </fill>
    <fill>
      <patternFill patternType="solid">
        <fgColor theme="2" tint="-0.249977111117893"/>
        <bgColor rgb="FFFFE599"/>
      </patternFill>
    </fill>
    <fill>
      <patternFill patternType="solid">
        <fgColor theme="2" tint="-0.249977111117893"/>
        <bgColor rgb="FFB7CDD1"/>
      </patternFill>
    </fill>
    <fill>
      <patternFill patternType="solid">
        <fgColor theme="2" tint="-0.249977111117893"/>
        <bgColor rgb="FFCCCCCC"/>
      </patternFill>
    </fill>
    <fill>
      <patternFill patternType="solid">
        <fgColor rgb="FFFA4132"/>
        <bgColor indexed="64"/>
      </patternFill>
    </fill>
    <fill>
      <patternFill patternType="solid">
        <fgColor theme="0" tint="-0.14999847407452621"/>
        <bgColor indexed="64"/>
      </patternFill>
    </fill>
    <fill>
      <patternFill patternType="solid">
        <fgColor rgb="FFF2F2F2"/>
        <bgColor rgb="FFF2F2F2"/>
      </patternFill>
    </fill>
    <fill>
      <patternFill patternType="solid">
        <fgColor theme="1"/>
        <bgColor indexed="64"/>
      </patternFill>
    </fill>
    <fill>
      <patternFill patternType="solid">
        <fgColor theme="0" tint="-4.9989318521683403E-2"/>
        <bgColor rgb="FFCCCCCC"/>
      </patternFill>
    </fill>
  </fills>
  <borders count="82">
    <border>
      <left/>
      <right/>
      <top/>
      <bottom/>
      <diagonal/>
    </border>
    <border>
      <left style="dotted">
        <color auto="1"/>
      </left>
      <right style="dotted">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tted">
        <color auto="1"/>
      </bottom>
      <diagonal/>
    </border>
    <border>
      <left/>
      <right/>
      <top/>
      <bottom style="thick">
        <color auto="1"/>
      </bottom>
      <diagonal/>
    </border>
    <border>
      <left style="thin">
        <color rgb="FF7F7F7F"/>
      </left>
      <right style="thin">
        <color rgb="FF7F7F7F"/>
      </right>
      <top style="thin">
        <color rgb="FF7F7F7F"/>
      </top>
      <bottom style="thin">
        <color rgb="FF7F7F7F"/>
      </bottom>
      <diagonal/>
    </border>
    <border>
      <left style="dotted">
        <color auto="1"/>
      </left>
      <right/>
      <top/>
      <bottom style="medium">
        <color indexed="64"/>
      </bottom>
      <diagonal/>
    </border>
    <border>
      <left/>
      <right style="dotted">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right style="medium">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rgb="FF000000"/>
      </left>
      <right style="medium">
        <color rgb="FF000000"/>
      </right>
      <top/>
      <bottom/>
      <diagonal/>
    </border>
    <border>
      <left style="thin">
        <color rgb="FF000000"/>
      </left>
      <right style="medium">
        <color rgb="FF000000"/>
      </right>
      <top/>
      <bottom/>
      <diagonal/>
    </border>
    <border>
      <left style="thin">
        <color rgb="FF000000"/>
      </left>
      <right style="medium">
        <color indexed="64"/>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style="medium">
        <color indexed="64"/>
      </right>
      <top style="medium">
        <color rgb="FF000000"/>
      </top>
      <bottom/>
      <diagonal/>
    </border>
    <border>
      <left/>
      <right style="medium">
        <color indexed="64"/>
      </right>
      <top/>
      <bottom style="medium">
        <color rgb="FF000000"/>
      </bottom>
      <diagonal/>
    </border>
    <border>
      <left style="medium">
        <color rgb="FF000000"/>
      </left>
      <right/>
      <top style="medium">
        <color indexed="64"/>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bottom style="medium">
        <color indexed="64"/>
      </bottom>
      <diagonal/>
    </border>
    <border>
      <left style="medium">
        <color indexed="64"/>
      </left>
      <right/>
      <top style="medium">
        <color rgb="FF000000"/>
      </top>
      <bottom/>
      <diagonal/>
    </border>
    <border>
      <left style="medium">
        <color indexed="64"/>
      </left>
      <right/>
      <top/>
      <bottom style="medium">
        <color rgb="FF000000"/>
      </bottom>
      <diagonal/>
    </border>
    <border>
      <left/>
      <right style="medium">
        <color rgb="FF000000"/>
      </right>
      <top/>
      <bottom style="thick">
        <color indexed="64"/>
      </bottom>
      <diagonal/>
    </border>
    <border>
      <left style="medium">
        <color rgb="FF000000"/>
      </left>
      <right style="medium">
        <color indexed="64"/>
      </right>
      <top/>
      <bottom style="thick">
        <color indexed="64"/>
      </bottom>
      <diagonal/>
    </border>
    <border>
      <left style="medium">
        <color rgb="FF000000"/>
      </left>
      <right/>
      <top/>
      <bottom style="thick">
        <color indexed="64"/>
      </bottom>
      <diagonal/>
    </border>
    <border>
      <left style="medium">
        <color indexed="64"/>
      </left>
      <right style="medium">
        <color rgb="FF000000"/>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thick">
        <color auto="1"/>
      </bottom>
      <diagonal/>
    </border>
    <border>
      <left style="medium">
        <color indexed="64"/>
      </left>
      <right style="medium">
        <color rgb="FF000000"/>
      </right>
      <top/>
      <bottom style="thick">
        <color auto="1"/>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indexed="64"/>
      </right>
      <top/>
      <bottom/>
      <diagonal/>
    </border>
    <border>
      <left style="thin">
        <color theme="0"/>
      </left>
      <right/>
      <top/>
      <bottom style="thin">
        <color indexed="64"/>
      </bottom>
      <diagonal/>
    </border>
  </borders>
  <cellStyleXfs count="6">
    <xf numFmtId="0" fontId="0" fillId="0" borderId="0"/>
    <xf numFmtId="0" fontId="1" fillId="0" borderId="0" applyNumberForma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4" borderId="12" applyNumberFormat="0" applyAlignment="0" applyProtection="0"/>
    <xf numFmtId="0" fontId="31" fillId="0" borderId="0"/>
  </cellStyleXfs>
  <cellXfs count="652">
    <xf numFmtId="0" fontId="0" fillId="0" borderId="0" xfId="0"/>
    <xf numFmtId="2" fontId="8" fillId="7" borderId="20" xfId="0" applyNumberFormat="1" applyFont="1" applyFill="1" applyBorder="1"/>
    <xf numFmtId="2" fontId="8" fillId="7" borderId="23" xfId="0" applyNumberFormat="1" applyFont="1" applyFill="1" applyBorder="1" applyAlignment="1">
      <alignment horizontal="center"/>
    </xf>
    <xf numFmtId="2" fontId="8" fillId="7" borderId="22" xfId="0" applyNumberFormat="1" applyFont="1" applyFill="1" applyBorder="1"/>
    <xf numFmtId="9" fontId="8" fillId="10" borderId="37" xfId="0" applyNumberFormat="1" applyFont="1" applyFill="1" applyBorder="1"/>
    <xf numFmtId="0" fontId="9" fillId="11" borderId="0" xfId="0" applyFont="1" applyFill="1" applyAlignment="1">
      <alignment horizontal="right"/>
    </xf>
    <xf numFmtId="0" fontId="9" fillId="11" borderId="16" xfId="0" applyFont="1" applyFill="1" applyBorder="1" applyAlignment="1">
      <alignment horizontal="center"/>
    </xf>
    <xf numFmtId="164" fontId="9" fillId="11" borderId="16" xfId="0" applyNumberFormat="1" applyFont="1" applyFill="1" applyBorder="1" applyAlignment="1">
      <alignment horizontal="center"/>
    </xf>
    <xf numFmtId="0" fontId="9" fillId="11" borderId="18" xfId="0" applyFont="1" applyFill="1" applyBorder="1" applyAlignment="1">
      <alignment horizontal="right"/>
    </xf>
    <xf numFmtId="9" fontId="9" fillId="11" borderId="0" xfId="0" applyNumberFormat="1" applyFont="1" applyFill="1" applyAlignment="1">
      <alignment horizontal="right"/>
    </xf>
    <xf numFmtId="164" fontId="9" fillId="11" borderId="19" xfId="0" applyNumberFormat="1" applyFont="1" applyFill="1" applyBorder="1" applyAlignment="1">
      <alignment horizontal="center"/>
    </xf>
    <xf numFmtId="164" fontId="9" fillId="11" borderId="0" xfId="0" applyNumberFormat="1" applyFont="1" applyFill="1" applyAlignment="1">
      <alignment horizontal="right"/>
    </xf>
    <xf numFmtId="1" fontId="9" fillId="11" borderId="0" xfId="0" applyNumberFormat="1" applyFont="1" applyFill="1" applyAlignment="1">
      <alignment horizontal="center"/>
    </xf>
    <xf numFmtId="164" fontId="9" fillId="11" borderId="18" xfId="0" applyNumberFormat="1" applyFont="1" applyFill="1" applyBorder="1" applyAlignment="1">
      <alignment horizontal="right"/>
    </xf>
    <xf numFmtId="164" fontId="9" fillId="11" borderId="19" xfId="0" applyNumberFormat="1" applyFont="1" applyFill="1" applyBorder="1" applyAlignment="1">
      <alignment horizontal="right"/>
    </xf>
    <xf numFmtId="9" fontId="8" fillId="10" borderId="38" xfId="0" applyNumberFormat="1" applyFont="1" applyFill="1" applyBorder="1"/>
    <xf numFmtId="9" fontId="8" fillId="10" borderId="39" xfId="0" applyNumberFormat="1" applyFont="1" applyFill="1" applyBorder="1"/>
    <xf numFmtId="0" fontId="9" fillId="11" borderId="0" xfId="0" applyFont="1" applyFill="1" applyAlignment="1">
      <alignment horizontal="center"/>
    </xf>
    <xf numFmtId="0" fontId="9" fillId="12" borderId="0" xfId="0" applyFont="1" applyFill="1"/>
    <xf numFmtId="0" fontId="9" fillId="13" borderId="7" xfId="0" applyFont="1" applyFill="1" applyBorder="1"/>
    <xf numFmtId="9" fontId="9" fillId="13" borderId="9" xfId="0" applyNumberFormat="1" applyFont="1" applyFill="1" applyBorder="1"/>
    <xf numFmtId="0" fontId="5" fillId="6" borderId="0" xfId="0" applyFont="1" applyFill="1" applyAlignment="1">
      <alignment vertical="top"/>
    </xf>
    <xf numFmtId="0" fontId="5" fillId="6" borderId="0" xfId="0" applyFont="1" applyFill="1" applyAlignment="1">
      <alignment vertical="top" wrapText="1"/>
    </xf>
    <xf numFmtId="0" fontId="5" fillId="0" borderId="0" xfId="0" applyFont="1" applyAlignment="1">
      <alignment vertical="top"/>
    </xf>
    <xf numFmtId="0" fontId="5" fillId="0" borderId="1" xfId="0" applyFont="1" applyBorder="1" applyAlignment="1">
      <alignment vertical="top"/>
    </xf>
    <xf numFmtId="0" fontId="5" fillId="0" borderId="14" xfId="0" applyFont="1" applyBorder="1" applyAlignment="1">
      <alignment vertical="top"/>
    </xf>
    <xf numFmtId="0" fontId="5" fillId="0" borderId="0" xfId="0" applyFont="1" applyAlignment="1">
      <alignment vertical="top" wrapText="1"/>
    </xf>
    <xf numFmtId="9" fontId="8" fillId="10" borderId="0" xfId="0" applyNumberFormat="1" applyFont="1" applyFill="1"/>
    <xf numFmtId="0" fontId="20" fillId="6" borderId="0" xfId="0" applyFont="1" applyFill="1" applyAlignment="1">
      <alignment vertical="top"/>
    </xf>
    <xf numFmtId="0" fontId="20" fillId="6" borderId="13" xfId="0" applyFont="1" applyFill="1" applyBorder="1" applyAlignment="1">
      <alignment vertical="top"/>
    </xf>
    <xf numFmtId="0" fontId="20" fillId="6" borderId="5" xfId="0" applyFont="1" applyFill="1" applyBorder="1" applyAlignment="1">
      <alignment vertical="top"/>
    </xf>
    <xf numFmtId="0" fontId="20" fillId="6" borderId="6" xfId="0" applyFont="1" applyFill="1" applyBorder="1" applyAlignment="1">
      <alignment vertical="top" wrapText="1"/>
    </xf>
    <xf numFmtId="0" fontId="20" fillId="6" borderId="8" xfId="0" applyFont="1" applyFill="1" applyBorder="1" applyAlignment="1">
      <alignment vertical="top" wrapText="1"/>
    </xf>
    <xf numFmtId="0" fontId="18" fillId="6" borderId="0" xfId="0" applyFont="1" applyFill="1" applyAlignment="1">
      <alignment horizontal="left" vertical="center"/>
    </xf>
    <xf numFmtId="0" fontId="5" fillId="6" borderId="3" xfId="0" applyFont="1" applyFill="1" applyBorder="1" applyAlignment="1">
      <alignment vertical="top"/>
    </xf>
    <xf numFmtId="0" fontId="9" fillId="11" borderId="7" xfId="0" applyFont="1" applyFill="1" applyBorder="1" applyAlignment="1">
      <alignment horizontal="right"/>
    </xf>
    <xf numFmtId="164" fontId="9" fillId="11" borderId="8" xfId="0" applyNumberFormat="1" applyFont="1" applyFill="1" applyBorder="1" applyAlignment="1">
      <alignment horizontal="right"/>
    </xf>
    <xf numFmtId="164" fontId="9" fillId="11" borderId="9" xfId="0" applyNumberFormat="1" applyFont="1" applyFill="1" applyBorder="1" applyAlignment="1">
      <alignment horizontal="right"/>
    </xf>
    <xf numFmtId="9" fontId="8" fillId="10" borderId="11" xfId="0" applyNumberFormat="1" applyFont="1" applyFill="1" applyBorder="1"/>
    <xf numFmtId="9" fontId="8" fillId="10" borderId="57" xfId="0" applyNumberFormat="1" applyFont="1" applyFill="1" applyBorder="1"/>
    <xf numFmtId="0" fontId="9" fillId="11" borderId="11" xfId="0" applyFont="1" applyFill="1" applyBorder="1" applyAlignment="1">
      <alignment horizontal="right"/>
    </xf>
    <xf numFmtId="0" fontId="9" fillId="11" borderId="11" xfId="0" applyFont="1" applyFill="1" applyBorder="1" applyAlignment="1">
      <alignment horizontal="center"/>
    </xf>
    <xf numFmtId="164" fontId="9" fillId="11" borderId="11" xfId="0" applyNumberFormat="1" applyFont="1" applyFill="1" applyBorder="1" applyAlignment="1">
      <alignment horizontal="center"/>
    </xf>
    <xf numFmtId="0" fontId="9" fillId="11" borderId="58" xfId="0" applyFont="1" applyFill="1" applyBorder="1" applyAlignment="1">
      <alignment horizontal="right"/>
    </xf>
    <xf numFmtId="9" fontId="9" fillId="11" borderId="11" xfId="0" applyNumberFormat="1" applyFont="1" applyFill="1" applyBorder="1" applyAlignment="1">
      <alignment horizontal="right"/>
    </xf>
    <xf numFmtId="164" fontId="9" fillId="11" borderId="56" xfId="0" applyNumberFormat="1" applyFont="1" applyFill="1" applyBorder="1" applyAlignment="1">
      <alignment horizontal="center"/>
    </xf>
    <xf numFmtId="164" fontId="9" fillId="11" borderId="11" xfId="0" applyNumberFormat="1" applyFont="1" applyFill="1" applyBorder="1" applyAlignment="1">
      <alignment horizontal="right"/>
    </xf>
    <xf numFmtId="1" fontId="9" fillId="11" borderId="11" xfId="0" applyNumberFormat="1" applyFont="1" applyFill="1" applyBorder="1" applyAlignment="1">
      <alignment horizontal="center"/>
    </xf>
    <xf numFmtId="164" fontId="9" fillId="11" borderId="58" xfId="0" applyNumberFormat="1" applyFont="1" applyFill="1" applyBorder="1" applyAlignment="1">
      <alignment horizontal="right"/>
    </xf>
    <xf numFmtId="164" fontId="9" fillId="11" borderId="56" xfId="0" applyNumberFormat="1" applyFont="1" applyFill="1" applyBorder="1" applyAlignment="1">
      <alignment horizontal="right"/>
    </xf>
    <xf numFmtId="9" fontId="8" fillId="10" borderId="61" xfId="0" applyNumberFormat="1" applyFont="1" applyFill="1" applyBorder="1"/>
    <xf numFmtId="9" fontId="8" fillId="10" borderId="62" xfId="0" applyNumberFormat="1" applyFont="1" applyFill="1" applyBorder="1"/>
    <xf numFmtId="9" fontId="8" fillId="10" borderId="63" xfId="0" applyNumberFormat="1" applyFont="1" applyFill="1" applyBorder="1"/>
    <xf numFmtId="1" fontId="9" fillId="14" borderId="0" xfId="0" applyNumberFormat="1" applyFont="1" applyFill="1" applyAlignment="1">
      <alignment horizontal="center"/>
    </xf>
    <xf numFmtId="9" fontId="8" fillId="15" borderId="61" xfId="0" applyNumberFormat="1" applyFont="1" applyFill="1" applyBorder="1"/>
    <xf numFmtId="9" fontId="8" fillId="15" borderId="0" xfId="0" applyNumberFormat="1" applyFont="1" applyFill="1"/>
    <xf numFmtId="9" fontId="8" fillId="15" borderId="38" xfId="0" applyNumberFormat="1" applyFont="1" applyFill="1" applyBorder="1"/>
    <xf numFmtId="9" fontId="8" fillId="15" borderId="39" xfId="0" applyNumberFormat="1" applyFont="1" applyFill="1" applyBorder="1"/>
    <xf numFmtId="0" fontId="9" fillId="16" borderId="0" xfId="0" applyFont="1" applyFill="1" applyAlignment="1">
      <alignment horizontal="right"/>
    </xf>
    <xf numFmtId="0" fontId="9" fillId="16" borderId="0" xfId="0" applyFont="1" applyFill="1" applyAlignment="1">
      <alignment horizontal="center"/>
    </xf>
    <xf numFmtId="164" fontId="9" fillId="16" borderId="19" xfId="0" applyNumberFormat="1" applyFont="1" applyFill="1" applyBorder="1" applyAlignment="1">
      <alignment horizontal="center"/>
    </xf>
    <xf numFmtId="0" fontId="9" fillId="16" borderId="18" xfId="0" applyFont="1" applyFill="1" applyBorder="1" applyAlignment="1">
      <alignment horizontal="right"/>
    </xf>
    <xf numFmtId="9" fontId="9" fillId="16" borderId="0" xfId="0" applyNumberFormat="1" applyFont="1" applyFill="1" applyAlignment="1">
      <alignment horizontal="right"/>
    </xf>
    <xf numFmtId="0" fontId="9" fillId="17" borderId="0" xfId="0" applyFont="1" applyFill="1" applyAlignment="1">
      <alignment horizontal="right"/>
    </xf>
    <xf numFmtId="1" fontId="9" fillId="17" borderId="0" xfId="0" applyNumberFormat="1" applyFont="1" applyFill="1" applyAlignment="1">
      <alignment horizontal="center"/>
    </xf>
    <xf numFmtId="164" fontId="9" fillId="16" borderId="18" xfId="0" applyNumberFormat="1" applyFont="1" applyFill="1" applyBorder="1" applyAlignment="1">
      <alignment horizontal="right"/>
    </xf>
    <xf numFmtId="164" fontId="9" fillId="16" borderId="0" xfId="0" applyNumberFormat="1" applyFont="1" applyFill="1" applyAlignment="1">
      <alignment horizontal="right"/>
    </xf>
    <xf numFmtId="164" fontId="9" fillId="16" borderId="19" xfId="0" applyNumberFormat="1" applyFont="1" applyFill="1" applyBorder="1" applyAlignment="1">
      <alignment horizontal="right"/>
    </xf>
    <xf numFmtId="0" fontId="6" fillId="7" borderId="16" xfId="0" applyFont="1" applyFill="1" applyBorder="1" applyAlignment="1">
      <alignment horizontal="center" vertical="center"/>
    </xf>
    <xf numFmtId="0" fontId="6" fillId="7" borderId="0" xfId="0" applyFont="1" applyFill="1" applyAlignment="1">
      <alignment horizontal="center" vertical="center"/>
    </xf>
    <xf numFmtId="0" fontId="6" fillId="7" borderId="21" xfId="0" applyFont="1" applyFill="1" applyBorder="1" applyAlignment="1">
      <alignment horizontal="center" vertical="center"/>
    </xf>
    <xf numFmtId="0" fontId="5" fillId="18" borderId="0" xfId="0" applyFont="1" applyFill="1" applyAlignment="1">
      <alignment vertical="top"/>
    </xf>
    <xf numFmtId="0" fontId="25" fillId="18" borderId="0" xfId="0" applyFont="1" applyFill="1" applyAlignment="1">
      <alignment vertical="top"/>
    </xf>
    <xf numFmtId="0" fontId="28" fillId="0" borderId="0" xfId="0" applyFont="1"/>
    <xf numFmtId="0" fontId="34" fillId="0" borderId="0" xfId="0" applyFont="1"/>
    <xf numFmtId="0" fontId="12" fillId="3" borderId="2" xfId="0" applyFont="1" applyFill="1" applyBorder="1" applyAlignment="1">
      <alignment vertical="top"/>
    </xf>
    <xf numFmtId="0" fontId="18" fillId="3" borderId="3" xfId="0" applyFont="1" applyFill="1" applyBorder="1" applyAlignment="1">
      <alignment vertical="top"/>
    </xf>
    <xf numFmtId="0" fontId="18" fillId="3" borderId="4" xfId="0" applyFont="1" applyFill="1" applyBorder="1" applyAlignment="1">
      <alignment vertical="top" wrapText="1"/>
    </xf>
    <xf numFmtId="0" fontId="18" fillId="3" borderId="5" xfId="0" applyFont="1" applyFill="1" applyBorder="1" applyAlignment="1">
      <alignment vertical="top"/>
    </xf>
    <xf numFmtId="0" fontId="18" fillId="3" borderId="0" xfId="0" applyFont="1" applyFill="1" applyAlignment="1">
      <alignment vertical="top"/>
    </xf>
    <xf numFmtId="0" fontId="33" fillId="3" borderId="6" xfId="1" applyFont="1" applyFill="1" applyBorder="1" applyAlignment="1">
      <alignment vertical="top" wrapText="1"/>
    </xf>
    <xf numFmtId="0" fontId="18" fillId="3" borderId="6" xfId="0" applyFont="1" applyFill="1" applyBorder="1" applyAlignment="1">
      <alignment vertical="top" wrapText="1"/>
    </xf>
    <xf numFmtId="0" fontId="19" fillId="3" borderId="6" xfId="0" applyFont="1" applyFill="1" applyBorder="1" applyAlignment="1">
      <alignment vertical="top" wrapText="1"/>
    </xf>
    <xf numFmtId="0" fontId="18" fillId="3" borderId="0" xfId="0" applyFont="1" applyFill="1" applyAlignment="1">
      <alignment vertical="top" wrapText="1"/>
    </xf>
    <xf numFmtId="0" fontId="35" fillId="2" borderId="10" xfId="0" applyFont="1" applyFill="1" applyBorder="1" applyAlignment="1">
      <alignment vertical="top"/>
    </xf>
    <xf numFmtId="0" fontId="13" fillId="2" borderId="0" xfId="0" applyFont="1" applyFill="1" applyAlignment="1">
      <alignment vertical="top"/>
    </xf>
    <xf numFmtId="0" fontId="13" fillId="2" borderId="6" xfId="0" applyFont="1" applyFill="1" applyBorder="1" applyAlignment="1">
      <alignment vertical="top" wrapText="1"/>
    </xf>
    <xf numFmtId="0" fontId="13" fillId="2" borderId="5" xfId="0" applyFont="1" applyFill="1" applyBorder="1" applyAlignment="1">
      <alignment vertical="top"/>
    </xf>
    <xf numFmtId="0" fontId="13" fillId="2" borderId="7" xfId="0" applyFont="1" applyFill="1" applyBorder="1" applyAlignment="1">
      <alignment vertical="top"/>
    </xf>
    <xf numFmtId="0" fontId="13" fillId="2" borderId="8" xfId="0" applyFont="1" applyFill="1" applyBorder="1" applyAlignment="1">
      <alignment vertical="top"/>
    </xf>
    <xf numFmtId="0" fontId="13" fillId="2" borderId="9" xfId="0" applyFont="1" applyFill="1" applyBorder="1" applyAlignment="1">
      <alignment vertical="top" wrapText="1"/>
    </xf>
    <xf numFmtId="0" fontId="25" fillId="0" borderId="0" xfId="0" applyFont="1" applyAlignment="1">
      <alignment vertical="top"/>
    </xf>
    <xf numFmtId="0" fontId="18" fillId="19" borderId="70" xfId="0" applyFont="1" applyFill="1" applyBorder="1" applyAlignment="1" applyProtection="1">
      <alignment vertical="center"/>
      <protection locked="0"/>
    </xf>
    <xf numFmtId="9" fontId="27" fillId="19" borderId="70" xfId="0" applyNumberFormat="1" applyFont="1" applyFill="1" applyBorder="1" applyAlignment="1" applyProtection="1">
      <alignment horizontal="center" vertical="center"/>
      <protection locked="0"/>
    </xf>
    <xf numFmtId="9" fontId="18" fillId="19" borderId="70" xfId="0" applyNumberFormat="1" applyFont="1" applyFill="1" applyBorder="1" applyAlignment="1" applyProtection="1">
      <alignment horizontal="center" vertical="center"/>
      <protection locked="0"/>
    </xf>
    <xf numFmtId="0" fontId="5" fillId="0" borderId="0" xfId="0" applyFont="1"/>
    <xf numFmtId="0" fontId="11" fillId="0" borderId="0" xfId="0" applyFont="1"/>
    <xf numFmtId="0" fontId="5" fillId="21" borderId="0" xfId="0" applyFont="1" applyFill="1" applyAlignment="1">
      <alignment vertical="top"/>
    </xf>
    <xf numFmtId="0" fontId="25" fillId="21" borderId="0" xfId="0" applyFont="1" applyFill="1" applyAlignment="1">
      <alignment vertical="top"/>
    </xf>
    <xf numFmtId="0" fontId="11" fillId="21" borderId="0" xfId="0" applyFont="1" applyFill="1" applyAlignment="1">
      <alignment horizontal="left" vertical="top"/>
    </xf>
    <xf numFmtId="0" fontId="11" fillId="21" borderId="0" xfId="0" applyFont="1" applyFill="1" applyAlignment="1">
      <alignment vertical="top"/>
    </xf>
    <xf numFmtId="0" fontId="27" fillId="5" borderId="70" xfId="4" applyFont="1" applyFill="1" applyBorder="1" applyAlignment="1" applyProtection="1">
      <alignment horizontal="left" vertical="top" wrapText="1"/>
    </xf>
    <xf numFmtId="0" fontId="18" fillId="6" borderId="73" xfId="0" applyFont="1" applyFill="1" applyBorder="1" applyAlignment="1">
      <alignment vertical="top"/>
    </xf>
    <xf numFmtId="0" fontId="18" fillId="6" borderId="68" xfId="0" applyFont="1" applyFill="1" applyBorder="1" applyAlignment="1">
      <alignment vertical="top"/>
    </xf>
    <xf numFmtId="0" fontId="47" fillId="6" borderId="74" xfId="0" applyFont="1" applyFill="1" applyBorder="1" applyAlignment="1">
      <alignment vertical="top"/>
    </xf>
    <xf numFmtId="0" fontId="18" fillId="6" borderId="75" xfId="0" applyFont="1" applyFill="1" applyBorder="1" applyAlignment="1">
      <alignment vertical="top"/>
    </xf>
    <xf numFmtId="0" fontId="18" fillId="6" borderId="0" xfId="0" applyFont="1" applyFill="1" applyAlignment="1">
      <alignment vertical="top"/>
    </xf>
    <xf numFmtId="0" fontId="12" fillId="6" borderId="0" xfId="0" applyFont="1" applyFill="1" applyAlignment="1">
      <alignment horizontal="left" vertical="top"/>
    </xf>
    <xf numFmtId="0" fontId="47" fillId="6" borderId="69" xfId="0" applyFont="1" applyFill="1" applyBorder="1" applyAlignment="1">
      <alignment vertical="top"/>
    </xf>
    <xf numFmtId="0" fontId="18" fillId="6" borderId="76" xfId="0" applyFont="1" applyFill="1" applyBorder="1" applyAlignment="1">
      <alignment vertical="top"/>
    </xf>
    <xf numFmtId="0" fontId="18" fillId="6" borderId="71" xfId="0" applyFont="1" applyFill="1" applyBorder="1" applyAlignment="1">
      <alignment vertical="top"/>
    </xf>
    <xf numFmtId="0" fontId="5" fillId="6" borderId="71" xfId="0" applyFont="1" applyFill="1" applyBorder="1" applyAlignment="1">
      <alignment vertical="top"/>
    </xf>
    <xf numFmtId="0" fontId="47" fillId="6" borderId="72" xfId="0" applyFont="1" applyFill="1" applyBorder="1" applyAlignment="1">
      <alignment vertical="top"/>
    </xf>
    <xf numFmtId="0" fontId="11" fillId="0" borderId="0" xfId="0" applyFont="1" applyAlignment="1">
      <alignment vertical="top"/>
    </xf>
    <xf numFmtId="0" fontId="11" fillId="0" borderId="0" xfId="0" applyFont="1" applyAlignment="1">
      <alignment horizontal="left" vertical="top"/>
    </xf>
    <xf numFmtId="9" fontId="5" fillId="0" borderId="0" xfId="3" applyFont="1" applyAlignment="1">
      <alignment horizontal="left" vertical="top"/>
    </xf>
    <xf numFmtId="0" fontId="5" fillId="0" borderId="0" xfId="0" applyFont="1" applyAlignment="1">
      <alignment horizontal="left" vertical="top"/>
    </xf>
    <xf numFmtId="164" fontId="9" fillId="11" borderId="0" xfId="0" applyNumberFormat="1" applyFont="1" applyFill="1" applyAlignment="1">
      <alignment horizontal="left"/>
    </xf>
    <xf numFmtId="0" fontId="9" fillId="14" borderId="0" xfId="0" applyFont="1" applyFill="1" applyAlignment="1">
      <alignment horizontal="left"/>
    </xf>
    <xf numFmtId="0" fontId="9" fillId="17" borderId="0" xfId="0" applyFont="1" applyFill="1" applyAlignment="1">
      <alignment horizontal="left"/>
    </xf>
    <xf numFmtId="164" fontId="9" fillId="11" borderId="11" xfId="0" applyNumberFormat="1" applyFont="1" applyFill="1" applyBorder="1" applyAlignment="1">
      <alignment horizontal="left"/>
    </xf>
    <xf numFmtId="0" fontId="9" fillId="12" borderId="0" xfId="0" applyFont="1" applyFill="1" applyAlignment="1">
      <alignment horizontal="left"/>
    </xf>
    <xf numFmtId="2" fontId="5" fillId="0" borderId="0" xfId="0" applyNumberFormat="1" applyFont="1" applyAlignment="1">
      <alignment vertical="top"/>
    </xf>
    <xf numFmtId="0" fontId="6" fillId="14" borderId="0" xfId="0" applyFont="1" applyFill="1" applyAlignment="1">
      <alignment vertical="top" wrapText="1"/>
    </xf>
    <xf numFmtId="0" fontId="6" fillId="14" borderId="0" xfId="0" applyFont="1" applyFill="1" applyAlignment="1">
      <alignment wrapText="1"/>
    </xf>
    <xf numFmtId="0" fontId="6" fillId="14" borderId="71" xfId="0" applyFont="1" applyFill="1" applyBorder="1" applyAlignment="1">
      <alignment horizontal="left" wrapText="1"/>
    </xf>
    <xf numFmtId="0" fontId="6" fillId="14" borderId="71" xfId="0" applyFont="1" applyFill="1" applyBorder="1" applyAlignment="1">
      <alignment wrapText="1"/>
    </xf>
    <xf numFmtId="0" fontId="9" fillId="14" borderId="0" xfId="0" applyFont="1" applyFill="1" applyAlignment="1">
      <alignment horizontal="left" vertical="top" wrapText="1"/>
    </xf>
    <xf numFmtId="0" fontId="6" fillId="14" borderId="0" xfId="0" applyFont="1" applyFill="1" applyAlignment="1">
      <alignment vertical="top"/>
    </xf>
    <xf numFmtId="0" fontId="9" fillId="14" borderId="0" xfId="0" applyFont="1" applyFill="1" applyAlignment="1">
      <alignment horizontal="center" vertical="top"/>
    </xf>
    <xf numFmtId="0" fontId="6" fillId="14" borderId="71" xfId="0" applyFont="1" applyFill="1" applyBorder="1" applyAlignment="1">
      <alignment horizontal="left"/>
    </xf>
    <xf numFmtId="0" fontId="52" fillId="0" borderId="0" xfId="0" applyFont="1"/>
    <xf numFmtId="0" fontId="5" fillId="19" borderId="79" xfId="0" applyFont="1" applyFill="1" applyBorder="1" applyAlignment="1" applyProtection="1">
      <alignment horizontal="center" vertical="top"/>
      <protection locked="0"/>
    </xf>
    <xf numFmtId="0" fontId="5" fillId="19" borderId="70" xfId="0" applyFont="1" applyFill="1" applyBorder="1" applyAlignment="1" applyProtection="1">
      <alignment horizontal="center" vertical="top"/>
      <protection locked="0"/>
    </xf>
    <xf numFmtId="0" fontId="5" fillId="19" borderId="70" xfId="0" applyFont="1" applyFill="1" applyBorder="1" applyAlignment="1" applyProtection="1">
      <alignment horizontal="left" vertical="top"/>
      <protection locked="0"/>
    </xf>
    <xf numFmtId="0" fontId="13" fillId="5" borderId="68" xfId="0" applyFont="1" applyFill="1" applyBorder="1" applyAlignment="1" applyProtection="1">
      <alignment vertical="center"/>
      <protection locked="0"/>
    </xf>
    <xf numFmtId="0" fontId="11" fillId="5" borderId="0" xfId="0" applyFont="1" applyFill="1" applyAlignment="1" applyProtection="1">
      <alignment vertical="center"/>
      <protection locked="0"/>
    </xf>
    <xf numFmtId="0" fontId="11" fillId="5" borderId="0" xfId="0" applyFont="1" applyFill="1" applyAlignment="1" applyProtection="1">
      <alignment vertical="top"/>
      <protection locked="0"/>
    </xf>
    <xf numFmtId="0" fontId="5" fillId="5" borderId="0" xfId="0" applyFont="1" applyFill="1" applyAlignment="1" applyProtection="1">
      <alignment vertical="top"/>
      <protection locked="0"/>
    </xf>
    <xf numFmtId="0" fontId="5" fillId="5" borderId="0" xfId="0" applyFont="1" applyFill="1" applyAlignment="1" applyProtection="1">
      <alignment horizontal="left" vertical="top"/>
      <protection locked="0"/>
    </xf>
    <xf numFmtId="0" fontId="5" fillId="5" borderId="0" xfId="0" applyFont="1" applyFill="1" applyAlignment="1" applyProtection="1">
      <alignment horizontal="left" vertical="top" indent="1"/>
      <protection locked="0"/>
    </xf>
    <xf numFmtId="0" fontId="18" fillId="6" borderId="78" xfId="0" applyFont="1" applyFill="1" applyBorder="1" applyAlignment="1" applyProtection="1">
      <alignment horizontal="left" vertical="top" wrapText="1" indent="1"/>
      <protection locked="0"/>
    </xf>
    <xf numFmtId="0" fontId="5"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42" fillId="5" borderId="0" xfId="0" applyFont="1" applyFill="1" applyAlignment="1" applyProtection="1">
      <alignment horizontal="left" vertical="top" wrapText="1"/>
      <protection locked="0"/>
    </xf>
    <xf numFmtId="0" fontId="42" fillId="5" borderId="0" xfId="0" applyFont="1" applyFill="1" applyAlignment="1" applyProtection="1">
      <alignment horizontal="left" vertical="top"/>
      <protection locked="0"/>
    </xf>
    <xf numFmtId="0" fontId="43" fillId="5" borderId="0" xfId="0" applyFont="1" applyFill="1" applyAlignment="1" applyProtection="1">
      <alignment vertical="top"/>
      <protection locked="0"/>
    </xf>
    <xf numFmtId="0" fontId="13" fillId="21" borderId="65" xfId="0" applyFont="1" applyFill="1" applyBorder="1" applyAlignment="1" applyProtection="1">
      <alignment vertical="top"/>
      <protection locked="0"/>
    </xf>
    <xf numFmtId="0" fontId="37" fillId="21" borderId="65" xfId="0" applyFont="1" applyFill="1" applyBorder="1" applyAlignment="1" applyProtection="1">
      <alignment vertical="center"/>
      <protection locked="0"/>
    </xf>
    <xf numFmtId="0" fontId="5" fillId="21" borderId="0" xfId="0" applyFont="1" applyFill="1" applyAlignment="1" applyProtection="1">
      <alignment vertical="top"/>
      <protection locked="0"/>
    </xf>
    <xf numFmtId="0" fontId="37" fillId="21" borderId="65" xfId="0" applyFont="1" applyFill="1" applyBorder="1" applyAlignment="1" applyProtection="1">
      <alignment vertical="center" wrapText="1"/>
      <protection locked="0"/>
    </xf>
    <xf numFmtId="0" fontId="13" fillId="21" borderId="65" xfId="0" applyFont="1" applyFill="1" applyBorder="1" applyAlignment="1" applyProtection="1">
      <alignment horizontal="left" vertical="center" wrapText="1"/>
      <protection locked="0"/>
    </xf>
    <xf numFmtId="0" fontId="38" fillId="21" borderId="67" xfId="1" applyFont="1" applyFill="1" applyBorder="1" applyAlignment="1" applyProtection="1">
      <alignment horizontal="left" vertical="center" wrapText="1" indent="1"/>
      <protection locked="0"/>
    </xf>
    <xf numFmtId="0" fontId="47" fillId="6" borderId="0" xfId="0" applyFont="1" applyFill="1" applyAlignment="1" applyProtection="1">
      <alignment vertical="top"/>
      <protection locked="0"/>
    </xf>
    <xf numFmtId="2" fontId="47" fillId="6" borderId="0" xfId="0" applyNumberFormat="1" applyFont="1" applyFill="1" applyAlignment="1" applyProtection="1">
      <alignment horizontal="left" vertical="top"/>
      <protection locked="0"/>
    </xf>
    <xf numFmtId="0" fontId="18" fillId="6" borderId="78" xfId="0" applyFont="1" applyFill="1" applyBorder="1" applyAlignment="1" applyProtection="1">
      <alignment horizontal="left" vertical="top" wrapText="1" indent="2"/>
      <protection locked="0"/>
    </xf>
    <xf numFmtId="0" fontId="16" fillId="5" borderId="0" xfId="0" applyFont="1" applyFill="1" applyAlignment="1" applyProtection="1">
      <alignment horizontal="left" vertical="top" indent="1"/>
      <protection locked="0"/>
    </xf>
    <xf numFmtId="0" fontId="16" fillId="5" borderId="0" xfId="0" applyFont="1" applyFill="1" applyAlignment="1" applyProtection="1">
      <alignment horizontal="left" vertical="top"/>
      <protection locked="0"/>
    </xf>
    <xf numFmtId="0" fontId="5" fillId="5" borderId="0" xfId="0" applyFont="1" applyFill="1" applyAlignment="1" applyProtection="1">
      <alignment vertical="center"/>
      <protection locked="0"/>
    </xf>
    <xf numFmtId="0" fontId="5" fillId="0" borderId="0" xfId="0" applyFont="1" applyAlignment="1" applyProtection="1">
      <alignment horizontal="left" vertical="top" indent="1"/>
      <protection locked="0"/>
    </xf>
    <xf numFmtId="0" fontId="42" fillId="5" borderId="0" xfId="0" applyFont="1" applyFill="1" applyAlignment="1" applyProtection="1">
      <alignment horizontal="left" vertical="top" wrapText="1" indent="1"/>
      <protection locked="0"/>
    </xf>
    <xf numFmtId="0" fontId="18" fillId="6" borderId="78" xfId="1" applyFont="1" applyFill="1" applyBorder="1" applyAlignment="1" applyProtection="1">
      <alignment horizontal="left" vertical="top" wrapText="1" indent="1"/>
      <protection locked="0"/>
    </xf>
    <xf numFmtId="0" fontId="16" fillId="5" borderId="0" xfId="0" applyFont="1" applyFill="1" applyAlignment="1" applyProtection="1">
      <alignment vertical="top"/>
      <protection locked="0"/>
    </xf>
    <xf numFmtId="0" fontId="5" fillId="5" borderId="0" xfId="0" applyFont="1" applyFill="1" applyAlignment="1" applyProtection="1">
      <alignment horizontal="center" vertical="top"/>
      <protection locked="0"/>
    </xf>
    <xf numFmtId="0" fontId="5" fillId="5" borderId="68" xfId="0" applyFont="1" applyFill="1" applyBorder="1" applyAlignment="1" applyProtection="1">
      <alignment horizontal="left" vertical="top" indent="1"/>
      <protection locked="0"/>
    </xf>
    <xf numFmtId="0" fontId="5" fillId="5" borderId="68" xfId="0" applyFont="1" applyFill="1" applyBorder="1" applyAlignment="1" applyProtection="1">
      <alignment horizontal="left" vertical="top"/>
      <protection locked="0"/>
    </xf>
    <xf numFmtId="0" fontId="5" fillId="5" borderId="68" xfId="0" applyFont="1" applyFill="1" applyBorder="1" applyAlignment="1" applyProtection="1">
      <alignment vertical="top"/>
      <protection locked="0"/>
    </xf>
    <xf numFmtId="0" fontId="18" fillId="6" borderId="77" xfId="0" applyFont="1" applyFill="1" applyBorder="1" applyAlignment="1" applyProtection="1">
      <alignment horizontal="left" vertical="top" wrapText="1" indent="1"/>
      <protection locked="0"/>
    </xf>
    <xf numFmtId="0" fontId="18" fillId="5" borderId="0" xfId="0" applyFont="1" applyFill="1" applyAlignment="1" applyProtection="1">
      <alignment vertical="top"/>
      <protection locked="0"/>
    </xf>
    <xf numFmtId="0" fontId="13" fillId="21" borderId="68" xfId="0" applyFont="1" applyFill="1" applyBorder="1" applyAlignment="1" applyProtection="1">
      <alignment vertical="top"/>
      <protection locked="0"/>
    </xf>
    <xf numFmtId="2" fontId="50" fillId="20" borderId="0" xfId="5" applyNumberFormat="1" applyFont="1" applyFill="1" applyAlignment="1" applyProtection="1">
      <alignment horizontal="left" vertical="top"/>
      <protection locked="0"/>
    </xf>
    <xf numFmtId="164" fontId="51" fillId="20" borderId="0" xfId="5" applyNumberFormat="1" applyFont="1" applyFill="1" applyAlignment="1" applyProtection="1">
      <alignment vertical="top"/>
      <protection locked="0"/>
    </xf>
    <xf numFmtId="2" fontId="50" fillId="20" borderId="0" xfId="5" applyNumberFormat="1" applyFont="1" applyFill="1" applyAlignment="1" applyProtection="1">
      <alignment horizontal="left" vertical="top" wrapText="1"/>
      <protection locked="0"/>
    </xf>
    <xf numFmtId="0" fontId="49" fillId="6" borderId="0" xfId="0" applyFont="1" applyFill="1" applyAlignment="1" applyProtection="1">
      <alignment vertical="top"/>
      <protection locked="0"/>
    </xf>
    <xf numFmtId="0" fontId="5" fillId="5" borderId="73" xfId="0" applyFont="1" applyFill="1" applyBorder="1" applyAlignment="1" applyProtection="1">
      <alignment vertical="top"/>
      <protection locked="0"/>
    </xf>
    <xf numFmtId="0" fontId="5" fillId="5" borderId="68" xfId="0" applyFont="1" applyFill="1" applyBorder="1" applyAlignment="1" applyProtection="1">
      <alignment vertical="center"/>
      <protection locked="0"/>
    </xf>
    <xf numFmtId="0" fontId="18" fillId="6" borderId="77" xfId="0" applyFont="1" applyFill="1" applyBorder="1" applyAlignment="1" applyProtection="1">
      <alignment horizontal="left" vertical="center" wrapText="1" indent="1"/>
      <protection locked="0"/>
    </xf>
    <xf numFmtId="0" fontId="11" fillId="5" borderId="75" xfId="0" applyFont="1" applyFill="1" applyBorder="1" applyAlignment="1" applyProtection="1">
      <alignment vertical="top"/>
      <protection locked="0"/>
    </xf>
    <xf numFmtId="2" fontId="49" fillId="6" borderId="0" xfId="0" applyNumberFormat="1" applyFont="1" applyFill="1" applyAlignment="1" applyProtection="1">
      <alignment horizontal="left" vertical="top"/>
      <protection locked="0"/>
    </xf>
    <xf numFmtId="0" fontId="11" fillId="0" borderId="0" xfId="0" applyFont="1" applyAlignment="1" applyProtection="1">
      <alignment vertical="top"/>
      <protection locked="0"/>
    </xf>
    <xf numFmtId="0" fontId="5" fillId="5" borderId="75" xfId="0" applyFont="1" applyFill="1" applyBorder="1" applyAlignment="1" applyProtection="1">
      <alignment vertical="top"/>
      <protection locked="0"/>
    </xf>
    <xf numFmtId="0" fontId="5" fillId="0" borderId="75" xfId="0" applyFont="1" applyBorder="1" applyAlignment="1" applyProtection="1">
      <alignment vertical="top"/>
      <protection locked="0"/>
    </xf>
    <xf numFmtId="0" fontId="14" fillId="5" borderId="75" xfId="0" applyFont="1" applyFill="1" applyBorder="1" applyAlignment="1" applyProtection="1">
      <alignment vertical="top"/>
      <protection locked="0"/>
    </xf>
    <xf numFmtId="0" fontId="42" fillId="5" borderId="0" xfId="0" applyFont="1" applyFill="1" applyAlignment="1" applyProtection="1">
      <alignment vertical="center"/>
      <protection locked="0"/>
    </xf>
    <xf numFmtId="0" fontId="16" fillId="5" borderId="0" xfId="0" applyFont="1" applyFill="1" applyAlignment="1" applyProtection="1">
      <alignment horizontal="right" vertical="center"/>
      <protection locked="0"/>
    </xf>
    <xf numFmtId="9" fontId="16" fillId="5" borderId="0" xfId="0" applyNumberFormat="1" applyFont="1" applyFill="1" applyAlignment="1" applyProtection="1">
      <alignment horizontal="center" vertical="center"/>
      <protection locked="0"/>
    </xf>
    <xf numFmtId="0" fontId="23" fillId="5" borderId="0" xfId="4" applyFont="1" applyFill="1" applyBorder="1" applyAlignment="1" applyProtection="1">
      <alignment vertical="center"/>
      <protection locked="0"/>
    </xf>
    <xf numFmtId="0" fontId="12" fillId="5" borderId="0" xfId="4" applyFont="1" applyFill="1" applyBorder="1" applyAlignment="1" applyProtection="1">
      <alignment vertical="center"/>
      <protection locked="0"/>
    </xf>
    <xf numFmtId="0" fontId="14" fillId="5" borderId="73" xfId="0" applyFont="1" applyFill="1" applyBorder="1" applyAlignment="1" applyProtection="1">
      <alignment vertical="top"/>
      <protection locked="0"/>
    </xf>
    <xf numFmtId="0" fontId="18" fillId="6" borderId="77" xfId="0" applyFont="1" applyFill="1" applyBorder="1" applyAlignment="1" applyProtection="1">
      <alignment horizontal="left" vertical="top" wrapText="1" indent="2"/>
      <protection locked="0"/>
    </xf>
    <xf numFmtId="0" fontId="5" fillId="5" borderId="71" xfId="0" applyFont="1" applyFill="1" applyBorder="1" applyAlignment="1" applyProtection="1">
      <alignment vertical="top"/>
      <protection locked="0"/>
    </xf>
    <xf numFmtId="0" fontId="23" fillId="5" borderId="0" xfId="4" applyFont="1" applyFill="1" applyBorder="1" applyAlignment="1" applyProtection="1">
      <alignment horizontal="left" vertical="center" wrapText="1"/>
      <protection locked="0"/>
    </xf>
    <xf numFmtId="0" fontId="19" fillId="5" borderId="0" xfId="0" applyFont="1" applyFill="1" applyAlignment="1" applyProtection="1">
      <alignment vertical="center" wrapText="1"/>
      <protection locked="0"/>
    </xf>
    <xf numFmtId="0" fontId="39" fillId="21" borderId="66" xfId="0" applyFont="1" applyFill="1" applyBorder="1" applyAlignment="1" applyProtection="1">
      <alignment vertical="top"/>
      <protection locked="0"/>
    </xf>
    <xf numFmtId="0" fontId="49" fillId="6" borderId="0" xfId="0" applyFont="1" applyFill="1" applyAlignment="1" applyProtection="1">
      <alignment horizontal="right" vertical="center" wrapText="1"/>
      <protection locked="0"/>
    </xf>
    <xf numFmtId="2" fontId="49" fillId="6" borderId="0" xfId="0" applyNumberFormat="1" applyFont="1" applyFill="1" applyAlignment="1" applyProtection="1">
      <alignment horizontal="left" vertical="center"/>
      <protection locked="0"/>
    </xf>
    <xf numFmtId="0" fontId="5" fillId="5" borderId="68" xfId="0" applyFont="1" applyFill="1" applyBorder="1" applyAlignment="1" applyProtection="1">
      <alignment horizontal="right" vertical="top"/>
      <protection locked="0"/>
    </xf>
    <xf numFmtId="0" fontId="32" fillId="5" borderId="0" xfId="0" applyFont="1" applyFill="1" applyAlignment="1" applyProtection="1">
      <alignment horizontal="left" vertical="top" wrapText="1" indent="1"/>
      <protection locked="0"/>
    </xf>
    <xf numFmtId="0" fontId="5" fillId="5" borderId="75" xfId="0" applyFont="1" applyFill="1" applyBorder="1" applyAlignment="1" applyProtection="1">
      <alignment vertical="center"/>
      <protection locked="0"/>
    </xf>
    <xf numFmtId="0" fontId="47" fillId="6" borderId="0" xfId="0" applyFont="1" applyFill="1" applyAlignment="1" applyProtection="1">
      <alignment vertical="center"/>
      <protection locked="0"/>
    </xf>
    <xf numFmtId="0" fontId="5" fillId="0" borderId="0" xfId="0" applyFont="1" applyAlignment="1" applyProtection="1">
      <alignment vertical="center"/>
      <protection locked="0"/>
    </xf>
    <xf numFmtId="2" fontId="47" fillId="6" borderId="0" xfId="0" applyNumberFormat="1" applyFont="1" applyFill="1" applyAlignment="1" applyProtection="1">
      <alignment horizontal="left" vertical="center"/>
      <protection locked="0"/>
    </xf>
    <xf numFmtId="0" fontId="5" fillId="5" borderId="74" xfId="0" applyFont="1" applyFill="1" applyBorder="1" applyAlignment="1" applyProtection="1">
      <alignment vertical="top"/>
      <protection locked="0"/>
    </xf>
    <xf numFmtId="2" fontId="47" fillId="6" borderId="0" xfId="0" applyNumberFormat="1" applyFont="1" applyFill="1" applyAlignment="1" applyProtection="1">
      <alignment vertical="top"/>
      <protection locked="0"/>
    </xf>
    <xf numFmtId="0" fontId="33" fillId="6" borderId="77" xfId="1" applyFont="1" applyFill="1" applyBorder="1" applyAlignment="1" applyProtection="1">
      <alignment horizontal="left" vertical="top" wrapText="1" indent="1"/>
      <protection locked="0"/>
    </xf>
    <xf numFmtId="0" fontId="5" fillId="5" borderId="76" xfId="0" applyFont="1" applyFill="1" applyBorder="1" applyAlignment="1" applyProtection="1">
      <alignment vertical="top"/>
      <protection locked="0"/>
    </xf>
    <xf numFmtId="0" fontId="5" fillId="5" borderId="71" xfId="0" applyFont="1" applyFill="1" applyBorder="1" applyAlignment="1" applyProtection="1">
      <alignment vertical="center"/>
      <protection locked="0"/>
    </xf>
    <xf numFmtId="0" fontId="5" fillId="5" borderId="71" xfId="0" applyFont="1" applyFill="1" applyBorder="1" applyAlignment="1" applyProtection="1">
      <alignment horizontal="left" vertical="top" indent="1"/>
      <protection locked="0"/>
    </xf>
    <xf numFmtId="0" fontId="5" fillId="5" borderId="71" xfId="0" applyFont="1" applyFill="1" applyBorder="1" applyAlignment="1" applyProtection="1">
      <alignment horizontal="left" vertical="top"/>
      <protection locked="0"/>
    </xf>
    <xf numFmtId="0" fontId="18" fillId="6" borderId="79" xfId="0" applyFont="1" applyFill="1" applyBorder="1" applyAlignment="1" applyProtection="1">
      <alignment horizontal="left" vertical="top" wrapText="1" indent="1"/>
      <protection locked="0"/>
    </xf>
    <xf numFmtId="1" fontId="5" fillId="5" borderId="0" xfId="0" applyNumberFormat="1" applyFont="1" applyFill="1" applyAlignment="1" applyProtection="1">
      <alignment horizontal="center" vertical="center"/>
      <protection locked="0"/>
    </xf>
    <xf numFmtId="0" fontId="35" fillId="21" borderId="73" xfId="0" applyFont="1" applyFill="1" applyBorder="1" applyAlignment="1" applyProtection="1">
      <alignment vertical="top"/>
      <protection locked="0"/>
    </xf>
    <xf numFmtId="0" fontId="37" fillId="21" borderId="68" xfId="0" applyFont="1" applyFill="1" applyBorder="1" applyAlignment="1" applyProtection="1">
      <alignment vertical="center"/>
      <protection locked="0"/>
    </xf>
    <xf numFmtId="0" fontId="37" fillId="21" borderId="68" xfId="0" applyFont="1" applyFill="1" applyBorder="1" applyAlignment="1" applyProtection="1">
      <alignment vertical="center" wrapText="1"/>
      <protection locked="0"/>
    </xf>
    <xf numFmtId="0" fontId="38" fillId="21" borderId="74" xfId="1" applyFont="1" applyFill="1" applyBorder="1" applyAlignment="1" applyProtection="1">
      <alignment horizontal="left" vertical="center" wrapText="1" indent="1"/>
      <protection locked="0"/>
    </xf>
    <xf numFmtId="0" fontId="35" fillId="5" borderId="73" xfId="0" applyFont="1" applyFill="1" applyBorder="1" applyAlignment="1" applyProtection="1">
      <alignment vertical="top"/>
      <protection locked="0"/>
    </xf>
    <xf numFmtId="0" fontId="13" fillId="5" borderId="68" xfId="0" applyFont="1" applyFill="1" applyBorder="1" applyAlignment="1" applyProtection="1">
      <alignment vertical="top"/>
      <protection locked="0"/>
    </xf>
    <xf numFmtId="0" fontId="37" fillId="5" borderId="68" xfId="0" applyFont="1" applyFill="1" applyBorder="1" applyAlignment="1" applyProtection="1">
      <alignment vertical="center"/>
      <protection locked="0"/>
    </xf>
    <xf numFmtId="0" fontId="37" fillId="5" borderId="68" xfId="0" applyFont="1" applyFill="1" applyBorder="1" applyAlignment="1" applyProtection="1">
      <alignment vertical="center" wrapText="1"/>
      <protection locked="0"/>
    </xf>
    <xf numFmtId="0" fontId="13" fillId="5" borderId="68" xfId="0" applyFont="1" applyFill="1" applyBorder="1" applyAlignment="1" applyProtection="1">
      <alignment horizontal="left" vertical="center" wrapText="1"/>
      <protection locked="0"/>
    </xf>
    <xf numFmtId="164" fontId="49" fillId="6" borderId="0" xfId="0" applyNumberFormat="1" applyFont="1" applyFill="1" applyAlignment="1" applyProtection="1">
      <alignment vertical="top"/>
      <protection locked="0"/>
    </xf>
    <xf numFmtId="0" fontId="14" fillId="5" borderId="75" xfId="0" applyFont="1" applyFill="1" applyBorder="1" applyAlignment="1" applyProtection="1">
      <alignment horizontal="center" vertical="top"/>
      <protection locked="0"/>
    </xf>
    <xf numFmtId="0" fontId="35" fillId="5" borderId="0" xfId="0" applyFont="1" applyFill="1" applyAlignment="1" applyProtection="1">
      <alignment horizontal="center" vertical="top"/>
      <protection locked="0"/>
    </xf>
    <xf numFmtId="0" fontId="12" fillId="5" borderId="0" xfId="0" applyFont="1" applyFill="1" applyAlignment="1" applyProtection="1">
      <alignment horizontal="center" vertical="top"/>
      <protection locked="0"/>
    </xf>
    <xf numFmtId="0" fontId="12" fillId="5" borderId="0" xfId="0" applyFont="1" applyFill="1" applyAlignment="1" applyProtection="1">
      <alignment horizontal="center" vertical="center"/>
      <protection locked="0"/>
    </xf>
    <xf numFmtId="0" fontId="47" fillId="6" borderId="0" xfId="0" applyFont="1" applyFill="1" applyAlignment="1" applyProtection="1">
      <alignment horizontal="center" vertical="top"/>
      <protection locked="0"/>
    </xf>
    <xf numFmtId="2" fontId="47" fillId="6" borderId="0" xfId="0" applyNumberFormat="1" applyFont="1" applyFill="1" applyAlignment="1" applyProtection="1">
      <alignment horizontal="center" vertical="top"/>
      <protection locked="0"/>
    </xf>
    <xf numFmtId="0" fontId="49" fillId="6" borderId="0" xfId="0" applyFont="1" applyFill="1" applyAlignment="1" applyProtection="1">
      <alignment horizontal="center" vertical="top"/>
      <protection locked="0"/>
    </xf>
    <xf numFmtId="0" fontId="5" fillId="0" borderId="0" xfId="0" applyFont="1" applyAlignment="1" applyProtection="1">
      <alignment horizontal="center" vertical="top"/>
      <protection locked="0"/>
    </xf>
    <xf numFmtId="0" fontId="14" fillId="5" borderId="0" xfId="0" applyFont="1" applyFill="1" applyAlignment="1" applyProtection="1">
      <alignment horizontal="center" vertical="top"/>
      <protection locked="0"/>
    </xf>
    <xf numFmtId="0" fontId="11" fillId="5" borderId="71" xfId="0" applyFont="1" applyFill="1" applyBorder="1" applyAlignment="1" applyProtection="1">
      <alignment horizontal="left" vertical="top"/>
      <protection locked="0"/>
    </xf>
    <xf numFmtId="0" fontId="11" fillId="5" borderId="71" xfId="0" applyFont="1" applyFill="1" applyBorder="1" applyAlignment="1" applyProtection="1">
      <alignment horizontal="center" vertical="top"/>
      <protection locked="0"/>
    </xf>
    <xf numFmtId="0" fontId="35" fillId="5" borderId="71" xfId="0" applyFont="1" applyFill="1" applyBorder="1" applyAlignment="1" applyProtection="1">
      <alignment horizontal="center" vertical="top"/>
      <protection locked="0"/>
    </xf>
    <xf numFmtId="0" fontId="12" fillId="5" borderId="71" xfId="0" applyFont="1" applyFill="1" applyBorder="1" applyAlignment="1" applyProtection="1">
      <alignment horizontal="center" vertical="top"/>
      <protection locked="0"/>
    </xf>
    <xf numFmtId="0" fontId="14" fillId="5" borderId="0" xfId="0" applyFont="1" applyFill="1" applyAlignment="1" applyProtection="1">
      <alignment vertical="top"/>
      <protection locked="0"/>
    </xf>
    <xf numFmtId="0" fontId="5" fillId="0" borderId="71" xfId="0" applyFont="1" applyBorder="1" applyAlignment="1" applyProtection="1">
      <alignment horizontal="left" vertical="top"/>
      <protection locked="0"/>
    </xf>
    <xf numFmtId="0" fontId="41" fillId="5" borderId="0" xfId="0" applyFont="1" applyFill="1" applyAlignment="1" applyProtection="1">
      <alignment horizontal="left" vertical="top" wrapText="1"/>
      <protection locked="0"/>
    </xf>
    <xf numFmtId="4" fontId="13" fillId="5" borderId="0" xfId="0" applyNumberFormat="1" applyFont="1" applyFill="1" applyAlignment="1" applyProtection="1">
      <alignment horizontal="center" vertical="top"/>
      <protection locked="0"/>
    </xf>
    <xf numFmtId="3" fontId="18" fillId="5" borderId="0" xfId="0" applyNumberFormat="1" applyFont="1" applyFill="1" applyAlignment="1" applyProtection="1">
      <alignment horizontal="center" vertical="top"/>
      <protection locked="0"/>
    </xf>
    <xf numFmtId="165" fontId="13" fillId="5" borderId="0" xfId="0" applyNumberFormat="1" applyFont="1" applyFill="1" applyAlignment="1" applyProtection="1">
      <alignment horizontal="center" vertical="top"/>
      <protection locked="0"/>
    </xf>
    <xf numFmtId="3" fontId="12" fillId="5" borderId="0" xfId="0" applyNumberFormat="1" applyFont="1" applyFill="1" applyAlignment="1" applyProtection="1">
      <alignment horizontal="center" vertical="top"/>
      <protection locked="0"/>
    </xf>
    <xf numFmtId="0" fontId="11" fillId="5" borderId="0" xfId="0" applyFont="1" applyFill="1" applyAlignment="1" applyProtection="1">
      <alignment horizontal="center" vertical="top"/>
      <protection locked="0"/>
    </xf>
    <xf numFmtId="0" fontId="5" fillId="5" borderId="75" xfId="0" applyFont="1" applyFill="1" applyBorder="1" applyAlignment="1" applyProtection="1">
      <alignment vertical="top" wrapText="1"/>
      <protection locked="0"/>
    </xf>
    <xf numFmtId="0" fontId="47" fillId="6" borderId="0" xfId="0" applyFont="1" applyFill="1" applyAlignment="1" applyProtection="1">
      <alignment vertical="top" wrapText="1"/>
      <protection locked="0"/>
    </xf>
    <xf numFmtId="2" fontId="47" fillId="6" borderId="0" xfId="0" applyNumberFormat="1"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24" fillId="5" borderId="0" xfId="0" applyFont="1" applyFill="1" applyAlignment="1" applyProtection="1">
      <alignment horizontal="center" vertical="center"/>
      <protection locked="0"/>
    </xf>
    <xf numFmtId="0" fontId="5" fillId="5" borderId="0" xfId="0" applyFont="1" applyFill="1" applyAlignment="1" applyProtection="1">
      <alignment horizontal="left" vertical="center" wrapText="1"/>
      <protection locked="0"/>
    </xf>
    <xf numFmtId="0" fontId="24" fillId="5" borderId="71" xfId="0" applyFont="1" applyFill="1" applyBorder="1" applyAlignment="1" applyProtection="1">
      <alignment horizontal="center" vertical="center"/>
      <protection locked="0"/>
    </xf>
    <xf numFmtId="0" fontId="33" fillId="6" borderId="79" xfId="1" applyFont="1" applyFill="1" applyBorder="1" applyAlignment="1" applyProtection="1">
      <alignment vertical="top" wrapText="1"/>
      <protection locked="0"/>
    </xf>
    <xf numFmtId="0" fontId="5" fillId="5" borderId="71" xfId="0" applyFont="1" applyFill="1" applyBorder="1" applyAlignment="1" applyProtection="1">
      <alignment vertical="top" wrapText="1"/>
      <protection locked="0"/>
    </xf>
    <xf numFmtId="0" fontId="17" fillId="5" borderId="71" xfId="0" applyFont="1" applyFill="1" applyBorder="1" applyAlignment="1" applyProtection="1">
      <alignment horizontal="left" vertical="top" indent="1"/>
      <protection locked="0"/>
    </xf>
    <xf numFmtId="0" fontId="17" fillId="5" borderId="71" xfId="0" applyFont="1" applyFill="1" applyBorder="1" applyAlignment="1" applyProtection="1">
      <alignment horizontal="left" vertical="top"/>
      <protection locked="0"/>
    </xf>
    <xf numFmtId="0" fontId="17" fillId="5" borderId="71" xfId="0" applyFont="1" applyFill="1" applyBorder="1" applyAlignment="1" applyProtection="1">
      <alignment vertical="top"/>
      <protection locked="0"/>
    </xf>
    <xf numFmtId="0" fontId="19" fillId="6" borderId="79" xfId="0" applyFont="1" applyFill="1" applyBorder="1" applyAlignment="1" applyProtection="1">
      <alignment horizontal="left" vertical="top" wrapText="1" indent="1"/>
      <protection locked="0"/>
    </xf>
    <xf numFmtId="0" fontId="24" fillId="5" borderId="68" xfId="0" applyFont="1" applyFill="1" applyBorder="1" applyAlignment="1" applyProtection="1">
      <alignment horizontal="center" vertical="center"/>
      <protection locked="0"/>
    </xf>
    <xf numFmtId="0" fontId="5" fillId="5" borderId="0" xfId="0" applyFont="1" applyFill="1" applyAlignment="1" applyProtection="1">
      <alignment horizontal="left" vertical="center"/>
      <protection locked="0"/>
    </xf>
    <xf numFmtId="0" fontId="24" fillId="5" borderId="0" xfId="0" applyFont="1" applyFill="1" applyAlignment="1" applyProtection="1">
      <alignment horizontal="left" vertical="center" wrapText="1"/>
      <protection locked="0"/>
    </xf>
    <xf numFmtId="0" fontId="16" fillId="5" borderId="69" xfId="0" applyFont="1" applyFill="1" applyBorder="1" applyAlignment="1" applyProtection="1">
      <alignment vertical="top"/>
      <protection locked="0"/>
    </xf>
    <xf numFmtId="0" fontId="5" fillId="5" borderId="68" xfId="0" applyFont="1" applyFill="1" applyBorder="1" applyAlignment="1" applyProtection="1">
      <alignment horizontal="center" vertical="center"/>
      <protection locked="0"/>
    </xf>
    <xf numFmtId="0" fontId="18" fillId="5" borderId="75" xfId="0" applyFont="1" applyFill="1" applyBorder="1" applyAlignment="1" applyProtection="1">
      <alignment vertical="top"/>
      <protection locked="0"/>
    </xf>
    <xf numFmtId="0" fontId="18" fillId="5" borderId="75" xfId="0" applyFont="1" applyFill="1" applyBorder="1" applyAlignment="1" applyProtection="1">
      <alignment horizontal="left" vertical="top"/>
      <protection locked="0"/>
    </xf>
    <xf numFmtId="0" fontId="47" fillId="6" borderId="0" xfId="0" applyFont="1" applyFill="1" applyAlignment="1" applyProtection="1">
      <alignment horizontal="left" vertical="top"/>
      <protection locked="0"/>
    </xf>
    <xf numFmtId="0" fontId="21" fillId="5" borderId="76" xfId="0" applyFont="1" applyFill="1" applyBorder="1" applyAlignment="1" applyProtection="1">
      <alignment vertical="top"/>
      <protection locked="0"/>
    </xf>
    <xf numFmtId="0" fontId="18" fillId="6" borderId="0" xfId="0" applyFont="1" applyFill="1" applyAlignment="1" applyProtection="1">
      <alignment vertical="top"/>
      <protection locked="0"/>
    </xf>
    <xf numFmtId="0" fontId="18" fillId="6" borderId="0" xfId="0" applyFont="1" applyFill="1" applyAlignment="1" applyProtection="1">
      <alignment vertical="center"/>
      <protection locked="0"/>
    </xf>
    <xf numFmtId="0" fontId="18" fillId="6" borderId="0" xfId="0" applyFont="1" applyFill="1" applyAlignment="1" applyProtection="1">
      <alignment horizontal="left" vertical="top" indent="1"/>
      <protection locked="0"/>
    </xf>
    <xf numFmtId="0" fontId="18" fillId="6" borderId="0" xfId="0" applyFont="1" applyFill="1" applyAlignment="1" applyProtection="1">
      <alignment horizontal="left" vertical="top"/>
      <protection locked="0"/>
    </xf>
    <xf numFmtId="0" fontId="18" fillId="6" borderId="0" xfId="0" applyFont="1" applyFill="1" applyAlignment="1" applyProtection="1">
      <alignment horizontal="left" vertical="top" wrapText="1" indent="1"/>
      <protection locked="0"/>
    </xf>
    <xf numFmtId="0" fontId="18" fillId="0" borderId="0" xfId="0" applyFont="1" applyAlignment="1" applyProtection="1">
      <alignment vertical="top"/>
      <protection locked="0"/>
    </xf>
    <xf numFmtId="0" fontId="49" fillId="6" borderId="0" xfId="0" applyFont="1" applyFill="1" applyAlignment="1" applyProtection="1">
      <alignment horizontal="right" vertical="top"/>
      <protection locked="0"/>
    </xf>
    <xf numFmtId="0" fontId="49" fillId="6" borderId="0" xfId="0" applyFont="1" applyFill="1" applyAlignment="1" applyProtection="1">
      <alignment vertical="center"/>
      <protection locked="0"/>
    </xf>
    <xf numFmtId="0" fontId="47" fillId="6" borderId="0" xfId="0" applyFont="1" applyFill="1" applyAlignment="1" applyProtection="1">
      <alignment horizontal="left" vertical="top" indent="1"/>
      <protection locked="0"/>
    </xf>
    <xf numFmtId="0" fontId="47" fillId="6" borderId="0" xfId="0" applyFont="1" applyFill="1" applyAlignment="1" applyProtection="1">
      <alignment horizontal="right" vertical="top"/>
      <protection locked="0"/>
    </xf>
    <xf numFmtId="0" fontId="47" fillId="6" borderId="0" xfId="0" applyFont="1" applyFill="1" applyAlignment="1" applyProtection="1">
      <alignment horizontal="center" vertical="center" wrapText="1"/>
      <protection locked="0"/>
    </xf>
    <xf numFmtId="2" fontId="47" fillId="6" borderId="0" xfId="0" applyNumberFormat="1" applyFont="1" applyFill="1" applyAlignment="1" applyProtection="1">
      <alignment horizontal="center" vertical="center" wrapText="1"/>
      <protection locked="0"/>
    </xf>
    <xf numFmtId="9" fontId="47" fillId="6" borderId="0" xfId="0" applyNumberFormat="1" applyFont="1" applyFill="1" applyAlignment="1" applyProtection="1">
      <alignment horizontal="left" vertical="top" indent="1"/>
      <protection locked="0"/>
    </xf>
    <xf numFmtId="9" fontId="18" fillId="6" borderId="0" xfId="0" applyNumberFormat="1" applyFont="1" applyFill="1" applyAlignment="1" applyProtection="1">
      <alignment horizontal="left" vertical="top" indent="1"/>
      <protection locked="0"/>
    </xf>
    <xf numFmtId="9" fontId="18" fillId="6" borderId="0" xfId="0" applyNumberFormat="1" applyFont="1" applyFill="1" applyAlignment="1" applyProtection="1">
      <alignment horizontal="left" vertical="top"/>
      <protection locked="0"/>
    </xf>
    <xf numFmtId="0" fontId="47" fillId="6" borderId="0" xfId="0" applyFont="1" applyFill="1" applyAlignment="1" applyProtection="1">
      <alignment horizontal="right"/>
      <protection locked="0"/>
    </xf>
    <xf numFmtId="0" fontId="12" fillId="6" borderId="0" xfId="0" applyFont="1" applyFill="1" applyAlignment="1" applyProtection="1">
      <alignment vertical="top"/>
      <protection locked="0"/>
    </xf>
    <xf numFmtId="0" fontId="53" fillId="22" borderId="0" xfId="0" applyFont="1" applyFill="1" applyProtection="1">
      <protection locked="0"/>
    </xf>
    <xf numFmtId="0" fontId="47" fillId="6" borderId="0" xfId="0" applyFont="1" applyFill="1" applyAlignment="1" applyProtection="1">
      <alignment horizontal="left" vertical="top" wrapText="1" indent="1"/>
      <protection locked="0"/>
    </xf>
    <xf numFmtId="0" fontId="54" fillId="22" borderId="0" xfId="0" applyFont="1" applyFill="1" applyProtection="1">
      <protection locked="0"/>
    </xf>
    <xf numFmtId="0" fontId="18" fillId="0" borderId="1" xfId="0" applyFont="1" applyBorder="1" applyAlignment="1" applyProtection="1">
      <alignment vertical="center"/>
      <protection locked="0"/>
    </xf>
    <xf numFmtId="0" fontId="18" fillId="0" borderId="14" xfId="0" applyFont="1" applyBorder="1" applyAlignment="1" applyProtection="1">
      <alignment vertical="center"/>
      <protection locked="0"/>
    </xf>
    <xf numFmtId="0" fontId="18" fillId="0" borderId="0" xfId="0" applyFont="1" applyAlignment="1" applyProtection="1">
      <alignment horizontal="left" vertical="top" indent="1"/>
      <protection locked="0"/>
    </xf>
    <xf numFmtId="0" fontId="18" fillId="0" borderId="0" xfId="0" applyFont="1" applyAlignment="1" applyProtection="1">
      <alignment horizontal="left" vertical="top"/>
      <protection locked="0"/>
    </xf>
    <xf numFmtId="0" fontId="18" fillId="0" borderId="0" xfId="0" applyFont="1" applyAlignment="1" applyProtection="1">
      <alignment horizontal="left" vertical="top" wrapText="1" indent="1"/>
      <protection locked="0"/>
    </xf>
    <xf numFmtId="0" fontId="47" fillId="0" borderId="0" xfId="0" applyFont="1" applyAlignment="1" applyProtection="1">
      <alignment vertical="top"/>
      <protection locked="0"/>
    </xf>
    <xf numFmtId="2" fontId="47" fillId="0" borderId="0" xfId="0" applyNumberFormat="1" applyFont="1" applyAlignment="1" applyProtection="1">
      <alignment horizontal="left" vertical="top"/>
      <protection locked="0"/>
    </xf>
    <xf numFmtId="0" fontId="5" fillId="0" borderId="1" xfId="0" applyFont="1" applyBorder="1" applyAlignment="1" applyProtection="1">
      <alignment vertical="center"/>
      <protection locked="0"/>
    </xf>
    <xf numFmtId="0" fontId="5" fillId="0" borderId="14" xfId="0" applyFont="1" applyBorder="1" applyAlignment="1" applyProtection="1">
      <alignment vertical="center"/>
      <protection locked="0"/>
    </xf>
    <xf numFmtId="0" fontId="5" fillId="5" borderId="0" xfId="0" applyFont="1" applyFill="1" applyAlignment="1">
      <alignment horizontal="left" vertical="top" indent="1"/>
    </xf>
    <xf numFmtId="0" fontId="5" fillId="5" borderId="0" xfId="0" applyFont="1" applyFill="1" applyAlignment="1">
      <alignment horizontal="left" vertical="top"/>
    </xf>
    <xf numFmtId="0" fontId="5" fillId="5" borderId="0" xfId="0" applyFont="1" applyFill="1" applyAlignment="1">
      <alignment vertical="top"/>
    </xf>
    <xf numFmtId="0" fontId="42" fillId="5" borderId="0" xfId="0" applyFont="1" applyFill="1" applyAlignment="1">
      <alignment horizontal="left" vertical="top"/>
    </xf>
    <xf numFmtId="0" fontId="11" fillId="5" borderId="0" xfId="0" applyFont="1" applyFill="1" applyAlignment="1">
      <alignment vertical="center"/>
    </xf>
    <xf numFmtId="0" fontId="11" fillId="5" borderId="0" xfId="0" applyFont="1" applyFill="1" applyAlignment="1">
      <alignment vertical="top"/>
    </xf>
    <xf numFmtId="0" fontId="13" fillId="21" borderId="66" xfId="0" applyFont="1" applyFill="1" applyBorder="1" applyAlignment="1">
      <alignment vertical="top"/>
    </xf>
    <xf numFmtId="0" fontId="13" fillId="21" borderId="65" xfId="0" applyFont="1" applyFill="1" applyBorder="1" applyAlignment="1">
      <alignment vertical="top"/>
    </xf>
    <xf numFmtId="0" fontId="37" fillId="21" borderId="65" xfId="0" applyFont="1" applyFill="1" applyBorder="1" applyAlignment="1">
      <alignment vertical="center"/>
    </xf>
    <xf numFmtId="0" fontId="37" fillId="21" borderId="65" xfId="0" applyFont="1" applyFill="1" applyBorder="1" applyAlignment="1">
      <alignment vertical="center" wrapText="1"/>
    </xf>
    <xf numFmtId="0" fontId="47" fillId="6" borderId="0" xfId="0" applyFont="1" applyFill="1" applyAlignment="1">
      <alignment vertical="top"/>
    </xf>
    <xf numFmtId="2" fontId="47" fillId="6" borderId="0" xfId="0" applyNumberFormat="1" applyFont="1" applyFill="1" applyAlignment="1">
      <alignment horizontal="left" vertical="top"/>
    </xf>
    <xf numFmtId="0" fontId="39" fillId="21" borderId="66" xfId="0" applyFont="1" applyFill="1" applyBorder="1" applyAlignment="1">
      <alignment vertical="top"/>
    </xf>
    <xf numFmtId="0" fontId="49" fillId="6" borderId="0" xfId="0" applyFont="1" applyFill="1" applyAlignment="1">
      <alignment horizontal="right" vertical="center" wrapText="1"/>
    </xf>
    <xf numFmtId="2" fontId="49" fillId="6" borderId="0" xfId="0" applyNumberFormat="1" applyFont="1" applyFill="1" applyAlignment="1">
      <alignment horizontal="left" vertical="center"/>
    </xf>
    <xf numFmtId="0" fontId="49" fillId="6" borderId="0" xfId="0" applyFont="1" applyFill="1" applyAlignment="1">
      <alignment vertical="top"/>
    </xf>
    <xf numFmtId="0" fontId="5" fillId="5" borderId="0" xfId="0" applyFont="1" applyFill="1" applyAlignment="1">
      <alignment horizontal="right" vertical="top"/>
    </xf>
    <xf numFmtId="0" fontId="15" fillId="5" borderId="0" xfId="1" applyFont="1" applyFill="1" applyBorder="1" applyAlignment="1" applyProtection="1">
      <alignment horizontal="left" vertical="top" indent="1"/>
    </xf>
    <xf numFmtId="0" fontId="15" fillId="5" borderId="0" xfId="1" applyFont="1" applyFill="1" applyBorder="1" applyAlignment="1" applyProtection="1">
      <alignment horizontal="left" vertical="top"/>
    </xf>
    <xf numFmtId="0" fontId="5" fillId="5" borderId="0" xfId="0" applyFont="1" applyFill="1" applyAlignment="1">
      <alignment vertical="center"/>
    </xf>
    <xf numFmtId="0" fontId="15" fillId="5" borderId="0" xfId="1" applyFont="1" applyFill="1" applyBorder="1" applyAlignment="1" applyProtection="1">
      <alignment vertical="top"/>
    </xf>
    <xf numFmtId="0" fontId="42" fillId="5" borderId="0" xfId="0" applyFont="1" applyFill="1" applyAlignment="1">
      <alignment horizontal="left" vertical="top" wrapText="1" indent="1"/>
    </xf>
    <xf numFmtId="2" fontId="47" fillId="6" borderId="0" xfId="0" applyNumberFormat="1" applyFont="1" applyFill="1" applyAlignment="1">
      <alignment vertical="top"/>
    </xf>
    <xf numFmtId="0" fontId="5" fillId="5" borderId="0" xfId="0" applyFont="1" applyFill="1" applyAlignment="1">
      <alignment horizontal="center" vertical="top"/>
    </xf>
    <xf numFmtId="0" fontId="42" fillId="5" borderId="0" xfId="1" applyFont="1" applyFill="1" applyBorder="1" applyAlignment="1" applyProtection="1">
      <alignment horizontal="left" vertical="top"/>
    </xf>
    <xf numFmtId="2" fontId="49" fillId="6" borderId="0" xfId="0" applyNumberFormat="1" applyFont="1" applyFill="1" applyAlignment="1">
      <alignment vertical="top"/>
    </xf>
    <xf numFmtId="0" fontId="5" fillId="5" borderId="0" xfId="0" applyFont="1" applyFill="1" applyAlignment="1">
      <alignment horizontal="left" vertical="top" wrapText="1"/>
    </xf>
    <xf numFmtId="0" fontId="35" fillId="5" borderId="0" xfId="0" applyFont="1" applyFill="1" applyAlignment="1">
      <alignment horizontal="center" vertical="top"/>
    </xf>
    <xf numFmtId="0" fontId="12" fillId="5" borderId="0" xfId="0" applyFont="1" applyFill="1" applyAlignment="1">
      <alignment horizontal="center" vertical="top"/>
    </xf>
    <xf numFmtId="0" fontId="11" fillId="5" borderId="71" xfId="0" applyFont="1" applyFill="1" applyBorder="1" applyAlignment="1">
      <alignment horizontal="left" vertical="top"/>
    </xf>
    <xf numFmtId="0" fontId="11" fillId="5" borderId="71" xfId="0" applyFont="1" applyFill="1" applyBorder="1" applyAlignment="1">
      <alignment horizontal="center" vertical="top"/>
    </xf>
    <xf numFmtId="0" fontId="35" fillId="5" borderId="71" xfId="0" applyFont="1" applyFill="1" applyBorder="1" applyAlignment="1">
      <alignment horizontal="center" vertical="top"/>
    </xf>
    <xf numFmtId="0" fontId="12" fillId="5" borderId="71" xfId="0" applyFont="1" applyFill="1" applyBorder="1" applyAlignment="1">
      <alignment horizontal="center" vertical="top"/>
    </xf>
    <xf numFmtId="0" fontId="13" fillId="5" borderId="68" xfId="0" applyFont="1" applyFill="1" applyBorder="1" applyAlignment="1">
      <alignment horizontal="left" vertical="center" indent="1"/>
    </xf>
    <xf numFmtId="0" fontId="13" fillId="5" borderId="68" xfId="0" applyFont="1" applyFill="1" applyBorder="1" applyAlignment="1">
      <alignment horizontal="left" vertical="center"/>
    </xf>
    <xf numFmtId="0" fontId="13" fillId="5" borderId="68" xfId="0" applyFont="1" applyFill="1" applyBorder="1" applyAlignment="1">
      <alignment vertical="top"/>
    </xf>
    <xf numFmtId="0" fontId="12" fillId="5" borderId="0" xfId="0" applyFont="1" applyFill="1" applyAlignment="1">
      <alignment horizontal="center" vertical="center"/>
    </xf>
    <xf numFmtId="4" fontId="13" fillId="5" borderId="0" xfId="0" applyNumberFormat="1" applyFont="1" applyFill="1" applyAlignment="1">
      <alignment horizontal="center" vertical="top"/>
    </xf>
    <xf numFmtId="3" fontId="18" fillId="5" borderId="0" xfId="0" applyNumberFormat="1" applyFont="1" applyFill="1" applyAlignment="1">
      <alignment horizontal="center" vertical="top"/>
    </xf>
    <xf numFmtId="165" fontId="13" fillId="5" borderId="0" xfId="0" applyNumberFormat="1" applyFont="1" applyFill="1" applyAlignment="1">
      <alignment horizontal="center" vertical="top"/>
    </xf>
    <xf numFmtId="0" fontId="11" fillId="5" borderId="0" xfId="0" applyFont="1" applyFill="1" applyAlignment="1">
      <alignment horizontal="center" vertical="top"/>
    </xf>
    <xf numFmtId="0" fontId="11" fillId="5" borderId="0" xfId="0" applyFont="1" applyFill="1" applyAlignment="1">
      <alignment horizontal="center" vertical="center"/>
    </xf>
    <xf numFmtId="0" fontId="11" fillId="5" borderId="71" xfId="0" applyFont="1" applyFill="1" applyBorder="1" applyAlignment="1">
      <alignment vertical="top"/>
    </xf>
    <xf numFmtId="0" fontId="5" fillId="5" borderId="71" xfId="0" applyFont="1" applyFill="1" applyBorder="1" applyAlignment="1">
      <alignment vertical="top"/>
    </xf>
    <xf numFmtId="3" fontId="11" fillId="5" borderId="71" xfId="0" applyNumberFormat="1" applyFont="1" applyFill="1" applyBorder="1" applyAlignment="1">
      <alignment horizontal="center" vertical="top"/>
    </xf>
    <xf numFmtId="0" fontId="11" fillId="5" borderId="71" xfId="0" applyFont="1" applyFill="1" applyBorder="1" applyAlignment="1">
      <alignment horizontal="center" vertical="top" wrapText="1"/>
    </xf>
    <xf numFmtId="0" fontId="13" fillId="5" borderId="0" xfId="0" applyFont="1" applyFill="1" applyAlignment="1">
      <alignment vertical="top"/>
    </xf>
    <xf numFmtId="3" fontId="13" fillId="5" borderId="0" xfId="0" applyNumberFormat="1" applyFont="1" applyFill="1" applyAlignment="1">
      <alignment horizontal="center" vertical="top"/>
    </xf>
    <xf numFmtId="168" fontId="13" fillId="5" borderId="0" xfId="0" applyNumberFormat="1" applyFont="1" applyFill="1" applyAlignment="1">
      <alignment horizontal="center" vertical="top"/>
    </xf>
    <xf numFmtId="3" fontId="13" fillId="5" borderId="0" xfId="0" applyNumberFormat="1" applyFont="1" applyFill="1" applyAlignment="1">
      <alignment horizontal="center" vertical="center"/>
    </xf>
    <xf numFmtId="3" fontId="11" fillId="5" borderId="70" xfId="0" applyNumberFormat="1" applyFont="1" applyFill="1" applyBorder="1" applyAlignment="1">
      <alignment horizontal="center" vertical="top"/>
    </xf>
    <xf numFmtId="164" fontId="11" fillId="5" borderId="70" xfId="0" applyNumberFormat="1" applyFont="1" applyFill="1" applyBorder="1" applyAlignment="1">
      <alignment horizontal="center" vertical="center"/>
    </xf>
    <xf numFmtId="3" fontId="5" fillId="5" borderId="0" xfId="0" applyNumberFormat="1" applyFont="1" applyFill="1" applyAlignment="1">
      <alignment horizontal="center" vertical="center"/>
    </xf>
    <xf numFmtId="3" fontId="11" fillId="5" borderId="70" xfId="0" applyNumberFormat="1" applyFont="1" applyFill="1" applyBorder="1" applyAlignment="1">
      <alignment horizontal="center" vertical="center"/>
    </xf>
    <xf numFmtId="3" fontId="11" fillId="5" borderId="0" xfId="0" applyNumberFormat="1" applyFont="1" applyFill="1" applyAlignment="1">
      <alignment horizontal="center" vertical="top"/>
    </xf>
    <xf numFmtId="0" fontId="5" fillId="5" borderId="0" xfId="0" applyFont="1" applyFill="1" applyAlignment="1">
      <alignment horizontal="left" vertical="top" indent="2"/>
    </xf>
    <xf numFmtId="0" fontId="45" fillId="5" borderId="0" xfId="0" applyFont="1" applyFill="1" applyAlignment="1">
      <alignment horizontal="left" vertical="top" wrapText="1" indent="1"/>
    </xf>
    <xf numFmtId="0" fontId="45" fillId="5" borderId="0" xfId="0" applyFont="1" applyFill="1" applyAlignment="1">
      <alignment horizontal="left" vertical="top"/>
    </xf>
    <xf numFmtId="0" fontId="4" fillId="5" borderId="0" xfId="0" applyFont="1" applyFill="1" applyAlignment="1">
      <alignment horizontal="left" vertical="top" wrapText="1"/>
    </xf>
    <xf numFmtId="0" fontId="4" fillId="5" borderId="0" xfId="0" applyFont="1" applyFill="1" applyAlignment="1">
      <alignment horizontal="left" vertical="top"/>
    </xf>
    <xf numFmtId="0" fontId="13" fillId="21" borderId="73" xfId="0" applyFont="1" applyFill="1" applyBorder="1" applyAlignment="1">
      <alignment vertical="top"/>
    </xf>
    <xf numFmtId="0" fontId="13" fillId="21" borderId="68" xfId="0" applyFont="1" applyFill="1" applyBorder="1" applyAlignment="1">
      <alignment vertical="top"/>
    </xf>
    <xf numFmtId="0" fontId="13" fillId="21" borderId="68" xfId="0" applyFont="1" applyFill="1" applyBorder="1" applyAlignment="1">
      <alignment vertical="center"/>
    </xf>
    <xf numFmtId="0" fontId="13" fillId="21" borderId="68" xfId="0" applyFont="1" applyFill="1" applyBorder="1" applyAlignment="1">
      <alignment horizontal="left" vertical="top" indent="1"/>
    </xf>
    <xf numFmtId="0" fontId="13" fillId="21" borderId="68" xfId="0" applyFont="1" applyFill="1" applyBorder="1" applyAlignment="1">
      <alignment horizontal="left" vertical="top"/>
    </xf>
    <xf numFmtId="0" fontId="13" fillId="21" borderId="74" xfId="0" applyFont="1" applyFill="1" applyBorder="1" applyAlignment="1">
      <alignment horizontal="left" vertical="top" indent="1"/>
    </xf>
    <xf numFmtId="0" fontId="13" fillId="21" borderId="75" xfId="0" applyFont="1" applyFill="1" applyBorder="1" applyAlignment="1">
      <alignment vertical="top"/>
    </xf>
    <xf numFmtId="0" fontId="13" fillId="21" borderId="0" xfId="0" applyFont="1" applyFill="1" applyAlignment="1">
      <alignment vertical="top"/>
    </xf>
    <xf numFmtId="0" fontId="13" fillId="21" borderId="0" xfId="0" applyFont="1" applyFill="1" applyAlignment="1">
      <alignment vertical="center"/>
    </xf>
    <xf numFmtId="0" fontId="13" fillId="21" borderId="0" xfId="0" applyFont="1" applyFill="1" applyAlignment="1">
      <alignment horizontal="left" vertical="top" indent="1"/>
    </xf>
    <xf numFmtId="0" fontId="13" fillId="21" borderId="0" xfId="0" applyFont="1" applyFill="1" applyAlignment="1">
      <alignment horizontal="left" vertical="top"/>
    </xf>
    <xf numFmtId="0" fontId="13" fillId="21" borderId="69" xfId="0" applyFont="1" applyFill="1" applyBorder="1" applyAlignment="1">
      <alignment horizontal="left" vertical="top" wrapText="1" indent="1"/>
    </xf>
    <xf numFmtId="0" fontId="55" fillId="21" borderId="0" xfId="0" applyFont="1" applyFill="1" applyAlignment="1">
      <alignment horizontal="left" vertical="top"/>
    </xf>
    <xf numFmtId="0" fontId="26" fillId="21" borderId="0" xfId="0" applyFont="1" applyFill="1" applyAlignment="1">
      <alignment vertical="top"/>
    </xf>
    <xf numFmtId="0" fontId="26" fillId="21" borderId="0" xfId="0" applyFont="1" applyFill="1" applyAlignment="1">
      <alignment horizontal="left" vertical="top"/>
    </xf>
    <xf numFmtId="0" fontId="36" fillId="21" borderId="0" xfId="1" applyFont="1" applyFill="1" applyBorder="1" applyAlignment="1" applyProtection="1">
      <alignment vertical="top"/>
    </xf>
    <xf numFmtId="0" fontId="13" fillId="21" borderId="0" xfId="0" applyFont="1" applyFill="1" applyAlignment="1">
      <alignment vertical="top" wrapText="1"/>
    </xf>
    <xf numFmtId="0" fontId="48" fillId="21" borderId="0" xfId="0" applyFont="1" applyFill="1" applyAlignment="1">
      <alignment vertical="top" wrapText="1"/>
    </xf>
    <xf numFmtId="0" fontId="13" fillId="21" borderId="76" xfId="0" applyFont="1" applyFill="1" applyBorder="1" applyAlignment="1">
      <alignment vertical="top"/>
    </xf>
    <xf numFmtId="0" fontId="13" fillId="21" borderId="71" xfId="0" applyFont="1" applyFill="1" applyBorder="1" applyAlignment="1">
      <alignment vertical="top"/>
    </xf>
    <xf numFmtId="0" fontId="13" fillId="21" borderId="71" xfId="0" applyFont="1" applyFill="1" applyBorder="1" applyAlignment="1">
      <alignment vertical="center"/>
    </xf>
    <xf numFmtId="0" fontId="13" fillId="21" borderId="71" xfId="0" applyFont="1" applyFill="1" applyBorder="1" applyAlignment="1">
      <alignment horizontal="left" vertical="top" indent="1"/>
    </xf>
    <xf numFmtId="0" fontId="13" fillId="21" borderId="71" xfId="0" applyFont="1" applyFill="1" applyBorder="1" applyAlignment="1">
      <alignment horizontal="left" vertical="top"/>
    </xf>
    <xf numFmtId="0" fontId="13" fillId="21" borderId="72" xfId="0" applyFont="1" applyFill="1" applyBorder="1" applyAlignment="1">
      <alignment horizontal="left" vertical="top" wrapText="1" indent="1"/>
    </xf>
    <xf numFmtId="0" fontId="12" fillId="6" borderId="78" xfId="0" applyFont="1" applyFill="1" applyBorder="1" applyAlignment="1" applyProtection="1">
      <alignment horizontal="left" vertical="center" wrapText="1" indent="1"/>
      <protection locked="0"/>
    </xf>
    <xf numFmtId="0" fontId="12" fillId="6" borderId="78" xfId="0" applyFont="1" applyFill="1" applyBorder="1" applyAlignment="1" applyProtection="1">
      <alignment horizontal="left" vertical="top" wrapText="1" indent="1"/>
      <protection locked="0"/>
    </xf>
    <xf numFmtId="0" fontId="33" fillId="6" borderId="78" xfId="1" applyFont="1" applyFill="1" applyBorder="1" applyAlignment="1" applyProtection="1">
      <alignment horizontal="left" vertical="top" wrapText="1" indent="1"/>
      <protection locked="0"/>
    </xf>
    <xf numFmtId="0" fontId="33" fillId="6" borderId="78" xfId="1" applyFont="1" applyFill="1" applyBorder="1" applyAlignment="1" applyProtection="1">
      <alignment horizontal="left" indent="1"/>
      <protection locked="0"/>
    </xf>
    <xf numFmtId="0" fontId="18" fillId="6" borderId="78" xfId="0" applyFont="1" applyFill="1" applyBorder="1" applyAlignment="1" applyProtection="1">
      <alignment horizontal="left" vertical="top" indent="1"/>
      <protection locked="0"/>
    </xf>
    <xf numFmtId="0" fontId="19" fillId="6" borderId="78" xfId="0" applyFont="1" applyFill="1" applyBorder="1" applyAlignment="1" applyProtection="1">
      <alignment horizontal="left" vertical="top" wrapText="1" indent="1"/>
      <protection locked="0"/>
    </xf>
    <xf numFmtId="0" fontId="18" fillId="6" borderId="78" xfId="0" applyFont="1" applyFill="1" applyBorder="1" applyAlignment="1" applyProtection="1">
      <alignment horizontal="left" indent="1"/>
      <protection locked="0"/>
    </xf>
    <xf numFmtId="0" fontId="33" fillId="6" borderId="78" xfId="1" applyFont="1" applyFill="1" applyBorder="1" applyAlignment="1" applyProtection="1">
      <alignment horizontal="left" vertical="top" wrapText="1" indent="2"/>
      <protection locked="0"/>
    </xf>
    <xf numFmtId="0" fontId="18" fillId="6" borderId="78" xfId="0" applyFont="1" applyFill="1" applyBorder="1" applyAlignment="1" applyProtection="1">
      <alignment horizontal="left" wrapText="1" indent="1"/>
      <protection locked="0"/>
    </xf>
    <xf numFmtId="0" fontId="33" fillId="6" borderId="78" xfId="1" applyFont="1" applyFill="1" applyBorder="1" applyAlignment="1" applyProtection="1">
      <alignment horizontal="left" wrapText="1" indent="1"/>
      <protection locked="0"/>
    </xf>
    <xf numFmtId="0" fontId="33" fillId="6" borderId="78" xfId="1" applyFont="1" applyFill="1" applyBorder="1" applyAlignment="1" applyProtection="1">
      <alignment vertical="top" wrapText="1"/>
      <protection locked="0"/>
    </xf>
    <xf numFmtId="0" fontId="33" fillId="6" borderId="78" xfId="1" applyFont="1" applyFill="1" applyBorder="1" applyAlignment="1" applyProtection="1">
      <alignment horizontal="center" vertical="top" wrapText="1"/>
      <protection locked="0"/>
    </xf>
    <xf numFmtId="0" fontId="38" fillId="6" borderId="77" xfId="1" applyFont="1" applyFill="1" applyBorder="1" applyAlignment="1" applyProtection="1">
      <alignment horizontal="left" vertical="center" wrapText="1" indent="1"/>
      <protection locked="0"/>
    </xf>
    <xf numFmtId="0" fontId="18" fillId="6" borderId="78" xfId="0" applyFont="1" applyFill="1" applyBorder="1" applyAlignment="1" applyProtection="1">
      <alignment horizontal="center" vertical="top" wrapText="1"/>
      <protection locked="0"/>
    </xf>
    <xf numFmtId="0" fontId="18" fillId="6" borderId="78" xfId="0" applyFont="1" applyFill="1" applyBorder="1" applyAlignment="1" applyProtection="1">
      <alignment horizontal="left" vertical="top" wrapText="1"/>
      <protection locked="0"/>
    </xf>
    <xf numFmtId="0" fontId="33" fillId="6" borderId="80" xfId="1" applyFont="1" applyFill="1" applyBorder="1" applyAlignment="1" applyProtection="1">
      <alignment horizontal="left" vertical="center" wrapText="1" indent="1"/>
      <protection locked="0"/>
    </xf>
    <xf numFmtId="0" fontId="38" fillId="21" borderId="70" xfId="1" applyFont="1" applyFill="1" applyBorder="1" applyAlignment="1" applyProtection="1">
      <alignment horizontal="left" vertical="center" wrapText="1" indent="1"/>
      <protection locked="0"/>
    </xf>
    <xf numFmtId="0" fontId="57" fillId="6" borderId="78" xfId="0" applyFont="1" applyFill="1" applyBorder="1" applyAlignment="1" applyProtection="1">
      <alignment horizontal="left" vertical="top" wrapText="1" indent="1"/>
      <protection locked="0"/>
    </xf>
    <xf numFmtId="0" fontId="58" fillId="6" borderId="78" xfId="1" applyFont="1" applyFill="1" applyBorder="1" applyAlignment="1" applyProtection="1">
      <alignment horizontal="left" vertical="top" wrapText="1" indent="1"/>
      <protection locked="0"/>
    </xf>
    <xf numFmtId="0" fontId="58" fillId="6" borderId="78" xfId="1" applyFont="1" applyFill="1" applyBorder="1" applyAlignment="1" applyProtection="1">
      <alignment horizontal="left" vertical="top" wrapText="1"/>
      <protection locked="0"/>
    </xf>
    <xf numFmtId="0" fontId="32" fillId="5" borderId="0" xfId="0" applyFont="1" applyFill="1" applyAlignment="1" applyProtection="1">
      <alignment horizontal="left" vertical="top"/>
      <protection locked="0"/>
    </xf>
    <xf numFmtId="0" fontId="11" fillId="5" borderId="0" xfId="0" applyFont="1" applyFill="1" applyAlignment="1" applyProtection="1">
      <alignment horizontal="left" vertical="top"/>
      <protection locked="0"/>
    </xf>
    <xf numFmtId="0" fontId="5" fillId="5" borderId="68" xfId="0" applyFont="1" applyFill="1" applyBorder="1" applyAlignment="1">
      <alignment horizontal="left" vertical="top" indent="1"/>
    </xf>
    <xf numFmtId="0" fontId="5" fillId="5" borderId="68" xfId="0" applyFont="1" applyFill="1" applyBorder="1" applyAlignment="1">
      <alignment horizontal="left" vertical="top"/>
    </xf>
    <xf numFmtId="0" fontId="5" fillId="5" borderId="74" xfId="0" applyFont="1" applyFill="1" applyBorder="1" applyAlignment="1">
      <alignment vertical="top"/>
    </xf>
    <xf numFmtId="0" fontId="41" fillId="5" borderId="0" xfId="0" applyFont="1" applyFill="1" applyAlignment="1">
      <alignment horizontal="left" vertical="top" indent="1"/>
    </xf>
    <xf numFmtId="0" fontId="18" fillId="5" borderId="0" xfId="0" applyFont="1" applyFill="1" applyAlignment="1">
      <alignment horizontal="left" vertical="top" indent="1"/>
    </xf>
    <xf numFmtId="0" fontId="5" fillId="5" borderId="69" xfId="0" applyFont="1" applyFill="1" applyBorder="1" applyAlignment="1">
      <alignment vertical="top"/>
    </xf>
    <xf numFmtId="0" fontId="18" fillId="5" borderId="0" xfId="1" applyFont="1" applyFill="1" applyBorder="1" applyAlignment="1" applyProtection="1">
      <alignment horizontal="left" vertical="top" indent="1"/>
    </xf>
    <xf numFmtId="0" fontId="18" fillId="5" borderId="0" xfId="1" applyFont="1" applyFill="1" applyBorder="1" applyAlignment="1" applyProtection="1">
      <alignment horizontal="left" vertical="top"/>
    </xf>
    <xf numFmtId="0" fontId="18" fillId="5" borderId="69" xfId="1" applyFont="1" applyFill="1" applyBorder="1" applyAlignment="1" applyProtection="1">
      <alignment vertical="top"/>
    </xf>
    <xf numFmtId="0" fontId="14" fillId="5" borderId="73" xfId="0" applyFont="1" applyFill="1" applyBorder="1" applyAlignment="1">
      <alignment vertical="top"/>
    </xf>
    <xf numFmtId="0" fontId="5" fillId="5" borderId="68" xfId="0" applyFont="1" applyFill="1" applyBorder="1" applyAlignment="1">
      <alignment vertical="top"/>
    </xf>
    <xf numFmtId="0" fontId="14" fillId="5" borderId="75" xfId="0" applyFont="1" applyFill="1" applyBorder="1" applyAlignment="1">
      <alignment vertical="top"/>
    </xf>
    <xf numFmtId="0" fontId="5" fillId="5" borderId="75" xfId="0" applyFont="1" applyFill="1" applyBorder="1" applyAlignment="1">
      <alignment vertical="top"/>
    </xf>
    <xf numFmtId="0" fontId="32" fillId="5" borderId="0" xfId="0" applyFont="1" applyFill="1" applyAlignment="1">
      <alignment horizontal="left" vertical="top" wrapText="1" indent="1"/>
    </xf>
    <xf numFmtId="0" fontId="32" fillId="5" borderId="0" xfId="0" applyFont="1" applyFill="1" applyAlignment="1">
      <alignment horizontal="left" vertical="top"/>
    </xf>
    <xf numFmtId="0" fontId="5" fillId="5" borderId="0" xfId="0" applyFont="1" applyFill="1" applyAlignment="1">
      <alignment vertical="top" wrapText="1"/>
    </xf>
    <xf numFmtId="0" fontId="15" fillId="5" borderId="68" xfId="1" applyFont="1" applyFill="1" applyBorder="1" applyAlignment="1" applyProtection="1">
      <alignment horizontal="left" vertical="top" indent="1"/>
      <protection locked="0"/>
    </xf>
    <xf numFmtId="0" fontId="15" fillId="5" borderId="68" xfId="1" applyFont="1" applyFill="1" applyBorder="1" applyAlignment="1" applyProtection="1">
      <alignment horizontal="left" vertical="top"/>
      <protection locked="0"/>
    </xf>
    <xf numFmtId="0" fontId="15" fillId="5" borderId="68" xfId="1" applyFont="1" applyFill="1" applyBorder="1" applyAlignment="1" applyProtection="1">
      <alignment vertical="top"/>
      <protection locked="0"/>
    </xf>
    <xf numFmtId="0" fontId="5" fillId="5" borderId="73" xfId="0" applyFont="1" applyFill="1" applyBorder="1" applyAlignment="1">
      <alignment vertical="top"/>
    </xf>
    <xf numFmtId="0" fontId="4" fillId="5" borderId="68" xfId="0" applyFont="1" applyFill="1" applyBorder="1" applyAlignment="1" applyProtection="1">
      <alignment horizontal="left" vertical="top" indent="1"/>
      <protection locked="0"/>
    </xf>
    <xf numFmtId="0" fontId="4" fillId="5" borderId="68" xfId="0" applyFont="1" applyFill="1" applyBorder="1" applyAlignment="1" applyProtection="1">
      <alignment horizontal="left" vertical="top"/>
      <protection locked="0"/>
    </xf>
    <xf numFmtId="0" fontId="4" fillId="5" borderId="68" xfId="0" applyFont="1" applyFill="1" applyBorder="1" applyAlignment="1" applyProtection="1">
      <alignment vertical="top"/>
      <protection locked="0"/>
    </xf>
    <xf numFmtId="0" fontId="5" fillId="5" borderId="0" xfId="0" applyFont="1" applyFill="1" applyAlignment="1">
      <alignment horizontal="right" vertical="top" indent="1"/>
    </xf>
    <xf numFmtId="0" fontId="5" fillId="5" borderId="0" xfId="0" applyFont="1" applyFill="1" applyAlignment="1">
      <alignment horizontal="left" vertical="center"/>
    </xf>
    <xf numFmtId="0" fontId="18" fillId="5" borderId="0" xfId="0" applyFont="1" applyFill="1" applyAlignment="1">
      <alignment horizontal="left" vertical="center"/>
    </xf>
    <xf numFmtId="0" fontId="22" fillId="5" borderId="0" xfId="0" applyFont="1" applyFill="1" applyAlignment="1">
      <alignment vertical="top" wrapText="1"/>
    </xf>
    <xf numFmtId="0" fontId="11" fillId="5" borderId="68" xfId="0" applyFont="1" applyFill="1" applyBorder="1" applyAlignment="1">
      <alignment vertical="center"/>
    </xf>
    <xf numFmtId="0" fontId="11" fillId="5" borderId="75" xfId="0" applyFont="1" applyFill="1" applyBorder="1" applyAlignment="1">
      <alignment vertical="top"/>
    </xf>
    <xf numFmtId="0" fontId="5" fillId="0" borderId="75" xfId="0" applyFont="1" applyBorder="1" applyAlignment="1">
      <alignment vertical="top"/>
    </xf>
    <xf numFmtId="0" fontId="18" fillId="5" borderId="0" xfId="0" applyFont="1" applyFill="1" applyAlignment="1">
      <alignment vertical="top"/>
    </xf>
    <xf numFmtId="0" fontId="42" fillId="5" borderId="0" xfId="0" applyFont="1" applyFill="1" applyAlignment="1">
      <alignment vertical="top"/>
    </xf>
    <xf numFmtId="0" fontId="40" fillId="5" borderId="0" xfId="0" applyFont="1" applyFill="1" applyAlignment="1">
      <alignment horizontal="left" vertical="top"/>
    </xf>
    <xf numFmtId="0" fontId="42" fillId="5" borderId="0" xfId="0" applyFont="1" applyFill="1" applyAlignment="1">
      <alignment horizontal="right" vertical="top"/>
    </xf>
    <xf numFmtId="0" fontId="42" fillId="5" borderId="69" xfId="0" applyFont="1" applyFill="1" applyBorder="1" applyAlignment="1">
      <alignment vertical="top"/>
    </xf>
    <xf numFmtId="0" fontId="42" fillId="5" borderId="0" xfId="0" applyFont="1" applyFill="1" applyAlignment="1">
      <alignment horizontal="left" vertical="top" indent="1"/>
    </xf>
    <xf numFmtId="0" fontId="40" fillId="5" borderId="0" xfId="0" applyFont="1" applyFill="1" applyAlignment="1">
      <alignment horizontal="left" vertical="top" indent="1"/>
    </xf>
    <xf numFmtId="0" fontId="5" fillId="5" borderId="75" xfId="0" applyFont="1" applyFill="1" applyBorder="1" applyAlignment="1">
      <alignment horizontal="left" vertical="top" indent="1"/>
    </xf>
    <xf numFmtId="0" fontId="22" fillId="5" borderId="0" xfId="0" applyFont="1" applyFill="1" applyAlignment="1">
      <alignment vertical="top"/>
    </xf>
    <xf numFmtId="0" fontId="22" fillId="5" borderId="0" xfId="0" applyFont="1" applyFill="1" applyAlignment="1">
      <alignment horizontal="left" vertical="top" indent="1"/>
    </xf>
    <xf numFmtId="0" fontId="43" fillId="5" borderId="0" xfId="0" applyFont="1" applyFill="1" applyAlignment="1">
      <alignment vertical="top"/>
    </xf>
    <xf numFmtId="0" fontId="18" fillId="5" borderId="75" xfId="0" applyFont="1" applyFill="1" applyBorder="1" applyAlignment="1">
      <alignment horizontal="left" vertical="top" indent="1"/>
    </xf>
    <xf numFmtId="0" fontId="5" fillId="5" borderId="0" xfId="0" applyFont="1" applyFill="1" applyAlignment="1">
      <alignment horizontal="left" indent="1"/>
    </xf>
    <xf numFmtId="0" fontId="5" fillId="5" borderId="0" xfId="0" applyFont="1" applyFill="1" applyAlignment="1">
      <alignment horizontal="left"/>
    </xf>
    <xf numFmtId="0" fontId="43" fillId="5" borderId="0" xfId="0" applyFont="1" applyFill="1"/>
    <xf numFmtId="0" fontId="19" fillId="5" borderId="0" xfId="0" applyFont="1" applyFill="1" applyAlignment="1">
      <alignment vertical="top"/>
    </xf>
    <xf numFmtId="0" fontId="16" fillId="5" borderId="0" xfId="0" applyFont="1" applyFill="1" applyAlignment="1">
      <alignment horizontal="left" vertical="top" indent="1"/>
    </xf>
    <xf numFmtId="0" fontId="16" fillId="5" borderId="0" xfId="0" applyFont="1" applyFill="1" applyAlignment="1">
      <alignment horizontal="left" vertical="top"/>
    </xf>
    <xf numFmtId="0" fontId="32" fillId="5" borderId="0" xfId="0" applyFont="1" applyFill="1" applyAlignment="1">
      <alignment horizontal="left" vertical="top" indent="1"/>
    </xf>
    <xf numFmtId="0" fontId="15" fillId="5" borderId="0" xfId="1" applyFont="1" applyFill="1" applyBorder="1" applyAlignment="1" applyProtection="1">
      <alignment horizontal="right" vertical="top"/>
    </xf>
    <xf numFmtId="0" fontId="42" fillId="5" borderId="0" xfId="0" applyFont="1" applyFill="1" applyAlignment="1">
      <alignment vertical="top" wrapText="1"/>
    </xf>
    <xf numFmtId="0" fontId="32" fillId="5" borderId="0" xfId="1" applyFont="1" applyFill="1" applyBorder="1" applyAlignment="1" applyProtection="1">
      <alignment horizontal="left" vertical="top" indent="1"/>
    </xf>
    <xf numFmtId="0" fontId="32" fillId="5" borderId="0" xfId="1" applyFont="1" applyFill="1" applyBorder="1" applyAlignment="1" applyProtection="1">
      <alignment vertical="top"/>
    </xf>
    <xf numFmtId="0" fontId="32" fillId="5" borderId="0" xfId="1" applyFont="1" applyFill="1" applyBorder="1" applyAlignment="1" applyProtection="1">
      <alignment horizontal="right" vertical="top"/>
    </xf>
    <xf numFmtId="0" fontId="32" fillId="5" borderId="0" xfId="1" applyFont="1" applyFill="1" applyBorder="1" applyAlignment="1" applyProtection="1">
      <alignment horizontal="left" vertical="top"/>
    </xf>
    <xf numFmtId="0" fontId="42" fillId="5" borderId="69" xfId="0" applyFont="1" applyFill="1" applyBorder="1"/>
    <xf numFmtId="0" fontId="5" fillId="5" borderId="0" xfId="0" applyFont="1" applyFill="1" applyAlignment="1">
      <alignment horizontal="left" vertical="center" indent="1"/>
    </xf>
    <xf numFmtId="0" fontId="22" fillId="5" borderId="0" xfId="0" applyFont="1" applyFill="1"/>
    <xf numFmtId="0" fontId="43" fillId="5" borderId="0" xfId="0" applyFont="1" applyFill="1" applyAlignment="1">
      <alignment horizontal="left" vertical="top" indent="1"/>
    </xf>
    <xf numFmtId="0" fontId="43" fillId="5" borderId="0" xfId="0" applyFont="1" applyFill="1" applyAlignment="1">
      <alignment horizontal="left" vertical="top"/>
    </xf>
    <xf numFmtId="0" fontId="5" fillId="0" borderId="0" xfId="0" applyFont="1" applyAlignment="1">
      <alignment horizontal="left" vertical="top" indent="1"/>
    </xf>
    <xf numFmtId="0" fontId="11" fillId="5" borderId="0" xfId="0" applyFont="1" applyFill="1" applyAlignment="1">
      <alignment vertical="top" wrapText="1"/>
    </xf>
    <xf numFmtId="0" fontId="18" fillId="5" borderId="0" xfId="0" applyFont="1" applyFill="1" applyAlignment="1">
      <alignment horizontal="left" vertical="top"/>
    </xf>
    <xf numFmtId="0" fontId="4" fillId="5" borderId="0" xfId="0" applyFont="1" applyFill="1"/>
    <xf numFmtId="0" fontId="32" fillId="5" borderId="0" xfId="0" applyFont="1" applyFill="1" applyAlignment="1">
      <alignment vertical="top"/>
    </xf>
    <xf numFmtId="0" fontId="16" fillId="5" borderId="0" xfId="0" applyFont="1" applyFill="1" applyAlignment="1">
      <alignment vertical="top"/>
    </xf>
    <xf numFmtId="0" fontId="5" fillId="5" borderId="0" xfId="0" applyFont="1" applyFill="1" applyAlignment="1">
      <alignment horizontal="left" vertical="top" wrapText="1" indent="1"/>
    </xf>
    <xf numFmtId="0" fontId="44" fillId="5" borderId="0" xfId="1" applyFont="1" applyFill="1" applyBorder="1" applyAlignment="1" applyProtection="1">
      <alignment horizontal="left" vertical="top"/>
    </xf>
    <xf numFmtId="0" fontId="42" fillId="5" borderId="0" xfId="0" applyFont="1" applyFill="1" applyAlignment="1">
      <alignment horizontal="center" vertical="top"/>
    </xf>
    <xf numFmtId="0" fontId="5" fillId="5" borderId="69" xfId="0" applyFont="1" applyFill="1" applyBorder="1" applyAlignment="1">
      <alignment horizontal="left" vertical="top"/>
    </xf>
    <xf numFmtId="0" fontId="56" fillId="5" borderId="0" xfId="0" applyFont="1" applyFill="1" applyAlignment="1">
      <alignment horizontal="left" vertical="top" wrapText="1"/>
    </xf>
    <xf numFmtId="0" fontId="11" fillId="5" borderId="0" xfId="0" applyFont="1" applyFill="1" applyAlignment="1">
      <alignment horizontal="left" vertical="center"/>
    </xf>
    <xf numFmtId="0" fontId="17" fillId="5" borderId="0" xfId="0" applyFont="1" applyFill="1" applyAlignment="1">
      <alignment vertical="top"/>
    </xf>
    <xf numFmtId="0" fontId="42" fillId="5" borderId="0" xfId="0" applyFont="1" applyFill="1" applyAlignment="1">
      <alignment horizontal="right"/>
    </xf>
    <xf numFmtId="0" fontId="42" fillId="5" borderId="0" xfId="0" applyFont="1" applyFill="1" applyAlignment="1">
      <alignment horizontal="left"/>
    </xf>
    <xf numFmtId="0" fontId="42" fillId="5" borderId="69" xfId="0" applyFont="1" applyFill="1" applyBorder="1" applyAlignment="1">
      <alignment horizontal="left"/>
    </xf>
    <xf numFmtId="0" fontId="18" fillId="5" borderId="69" xfId="0" applyFont="1" applyFill="1" applyBorder="1" applyAlignment="1">
      <alignment vertical="top"/>
    </xf>
    <xf numFmtId="0" fontId="32" fillId="5" borderId="69" xfId="0" applyFont="1" applyFill="1" applyBorder="1" applyAlignment="1">
      <alignment horizontal="left" vertical="top"/>
    </xf>
    <xf numFmtId="0" fontId="37" fillId="21" borderId="68" xfId="0" applyFont="1" applyFill="1" applyBorder="1" applyAlignment="1">
      <alignment vertical="center"/>
    </xf>
    <xf numFmtId="0" fontId="27" fillId="19" borderId="70" xfId="4" applyFont="1" applyFill="1" applyBorder="1" applyAlignment="1" applyProtection="1">
      <alignment horizontal="left" vertical="center"/>
      <protection locked="0"/>
    </xf>
    <xf numFmtId="0" fontId="22" fillId="5" borderId="0" xfId="0" applyFont="1" applyFill="1" applyAlignment="1">
      <alignment wrapText="1"/>
    </xf>
    <xf numFmtId="0" fontId="22" fillId="5" borderId="69" xfId="0" applyFont="1" applyFill="1" applyBorder="1" applyAlignment="1">
      <alignment wrapText="1"/>
    </xf>
    <xf numFmtId="0" fontId="13" fillId="21" borderId="0" xfId="0" applyFont="1" applyFill="1" applyAlignment="1">
      <alignment horizontal="left" vertical="top" wrapText="1"/>
    </xf>
    <xf numFmtId="0" fontId="48" fillId="21" borderId="0" xfId="0" applyFont="1" applyFill="1" applyAlignment="1">
      <alignment vertical="top" wrapText="1"/>
    </xf>
    <xf numFmtId="0" fontId="42" fillId="5" borderId="0" xfId="0" applyFont="1" applyFill="1" applyAlignment="1">
      <alignment horizontal="right" vertical="top" wrapText="1"/>
    </xf>
    <xf numFmtId="0" fontId="42" fillId="5" borderId="69" xfId="0" applyFont="1" applyFill="1" applyBorder="1" applyAlignment="1">
      <alignment horizontal="right" vertical="top" wrapText="1"/>
    </xf>
    <xf numFmtId="0" fontId="42" fillId="5" borderId="0" xfId="0" applyFont="1" applyFill="1" applyAlignment="1">
      <alignment vertical="top" wrapText="1"/>
    </xf>
    <xf numFmtId="0" fontId="42" fillId="5" borderId="69" xfId="0" applyFont="1" applyFill="1" applyBorder="1" applyAlignment="1">
      <alignment vertical="top" wrapText="1"/>
    </xf>
    <xf numFmtId="0" fontId="22" fillId="5" borderId="0" xfId="0" applyFont="1" applyFill="1" applyAlignment="1">
      <alignment vertical="top" wrapText="1"/>
    </xf>
    <xf numFmtId="0" fontId="22" fillId="5" borderId="69" xfId="0" applyFont="1" applyFill="1" applyBorder="1" applyAlignment="1">
      <alignment vertical="top" wrapText="1"/>
    </xf>
    <xf numFmtId="0" fontId="5" fillId="5" borderId="68" xfId="0" applyFont="1" applyFill="1" applyBorder="1" applyAlignment="1" applyProtection="1">
      <alignment vertical="top"/>
      <protection locked="0"/>
    </xf>
    <xf numFmtId="0" fontId="27" fillId="19" borderId="70" xfId="4" applyFont="1" applyFill="1" applyBorder="1" applyAlignment="1" applyProtection="1">
      <alignment horizontal="center" vertical="center"/>
      <protection locked="0"/>
    </xf>
    <xf numFmtId="0" fontId="27" fillId="19" borderId="66" xfId="0" applyFont="1" applyFill="1" applyBorder="1" applyAlignment="1" applyProtection="1">
      <alignment horizontal="center" vertical="center"/>
      <protection locked="0"/>
    </xf>
    <xf numFmtId="0" fontId="27" fillId="19" borderId="67" xfId="0" applyFont="1" applyFill="1" applyBorder="1" applyAlignment="1" applyProtection="1">
      <alignment horizontal="center" vertical="center"/>
      <protection locked="0"/>
    </xf>
    <xf numFmtId="0" fontId="27" fillId="19" borderId="66" xfId="4" applyFont="1" applyFill="1" applyBorder="1" applyAlignment="1" applyProtection="1">
      <alignment horizontal="left" vertical="top" wrapText="1"/>
      <protection locked="0"/>
    </xf>
    <xf numFmtId="0" fontId="27" fillId="19" borderId="65" xfId="4" applyFont="1" applyFill="1" applyBorder="1" applyAlignment="1" applyProtection="1">
      <alignment horizontal="left" vertical="top" wrapText="1"/>
      <protection locked="0"/>
    </xf>
    <xf numFmtId="0" fontId="27" fillId="19" borderId="67" xfId="4" applyFont="1" applyFill="1" applyBorder="1" applyAlignment="1" applyProtection="1">
      <alignment horizontal="left" vertical="top" wrapText="1"/>
      <protection locked="0"/>
    </xf>
    <xf numFmtId="0" fontId="27" fillId="19" borderId="70" xfId="0" applyFont="1" applyFill="1" applyBorder="1" applyAlignment="1" applyProtection="1">
      <alignment horizontal="center" vertical="center"/>
      <protection locked="0"/>
    </xf>
    <xf numFmtId="0" fontId="16" fillId="5" borderId="75" xfId="0" applyFont="1" applyFill="1" applyBorder="1" applyAlignment="1">
      <alignment horizontal="left" vertical="top" wrapText="1"/>
    </xf>
    <xf numFmtId="0" fontId="16" fillId="5" borderId="0" xfId="0" applyFont="1" applyFill="1" applyAlignment="1">
      <alignment horizontal="left" vertical="top" wrapText="1"/>
    </xf>
    <xf numFmtId="0" fontId="5" fillId="5" borderId="71" xfId="0" applyFont="1" applyFill="1" applyBorder="1" applyAlignment="1">
      <alignment vertical="top"/>
    </xf>
    <xf numFmtId="0" fontId="33" fillId="6" borderId="78" xfId="1" applyFont="1" applyFill="1" applyBorder="1" applyAlignment="1" applyProtection="1">
      <alignment horizontal="left" vertical="top" wrapText="1" indent="1"/>
      <protection locked="0"/>
    </xf>
    <xf numFmtId="0" fontId="18" fillId="6" borderId="78" xfId="0" applyFont="1" applyFill="1" applyBorder="1" applyAlignment="1" applyProtection="1">
      <alignment horizontal="left" vertical="top" wrapText="1" indent="1"/>
      <protection locked="0"/>
    </xf>
    <xf numFmtId="0" fontId="42" fillId="5" borderId="0" xfId="0" applyFont="1" applyFill="1" applyAlignment="1">
      <alignment horizontal="left" vertical="top" wrapText="1"/>
    </xf>
    <xf numFmtId="0" fontId="22" fillId="5" borderId="0" xfId="0" applyFont="1" applyFill="1" applyAlignment="1">
      <alignment horizontal="left" vertical="top" wrapText="1" indent="1"/>
    </xf>
    <xf numFmtId="0" fontId="11" fillId="5" borderId="0" xfId="0" applyFont="1" applyFill="1" applyAlignment="1">
      <alignment horizontal="left" vertical="center" wrapText="1" indent="1"/>
    </xf>
    <xf numFmtId="0" fontId="42" fillId="0" borderId="0" xfId="0" applyFont="1" applyAlignment="1">
      <alignment horizontal="left" vertical="top" wrapText="1" indent="1"/>
    </xf>
    <xf numFmtId="0" fontId="42" fillId="0" borderId="69" xfId="0" applyFont="1" applyBorder="1" applyAlignment="1">
      <alignment horizontal="left" vertical="top" wrapText="1" indent="1"/>
    </xf>
    <xf numFmtId="0" fontId="18" fillId="5" borderId="0" xfId="0" applyFont="1" applyFill="1" applyAlignment="1">
      <alignment horizontal="left" vertical="top" wrapText="1" indent="1"/>
    </xf>
    <xf numFmtId="0" fontId="42" fillId="5" borderId="69" xfId="0" applyFont="1" applyFill="1" applyBorder="1" applyAlignment="1">
      <alignment horizontal="left" vertical="top" wrapText="1"/>
    </xf>
    <xf numFmtId="0" fontId="13" fillId="21" borderId="65" xfId="0" applyFont="1" applyFill="1" applyBorder="1" applyAlignment="1">
      <alignment horizontal="left" vertical="center" wrapText="1"/>
    </xf>
    <xf numFmtId="0" fontId="13" fillId="21" borderId="65" xfId="0" applyFont="1" applyFill="1" applyBorder="1" applyAlignment="1">
      <alignment vertical="center" wrapText="1"/>
    </xf>
    <xf numFmtId="0" fontId="5" fillId="5" borderId="81" xfId="0" applyFont="1" applyFill="1" applyBorder="1" applyAlignment="1" applyProtection="1">
      <alignment horizontal="center" vertical="center"/>
      <protection locked="0"/>
    </xf>
    <xf numFmtId="0" fontId="5" fillId="5" borderId="71" xfId="0" applyFont="1" applyFill="1" applyBorder="1" applyAlignment="1" applyProtection="1">
      <alignment horizontal="center" vertical="center"/>
      <protection locked="0"/>
    </xf>
    <xf numFmtId="0" fontId="23" fillId="5" borderId="0" xfId="4" applyFont="1" applyFill="1" applyBorder="1" applyAlignment="1" applyProtection="1">
      <alignment horizontal="left" vertical="center"/>
      <protection locked="0"/>
    </xf>
    <xf numFmtId="3" fontId="27" fillId="19" borderId="70" xfId="4" applyNumberFormat="1" applyFont="1" applyFill="1" applyBorder="1" applyAlignment="1" applyProtection="1">
      <alignment horizontal="center" vertical="center"/>
      <protection locked="0"/>
    </xf>
    <xf numFmtId="167" fontId="27" fillId="5" borderId="74" xfId="2" applyNumberFormat="1" applyFont="1" applyFill="1" applyBorder="1" applyAlignment="1" applyProtection="1">
      <alignment horizontal="center" vertical="center"/>
      <protection locked="0"/>
    </xf>
    <xf numFmtId="167" fontId="27" fillId="5" borderId="73" xfId="2" applyNumberFormat="1" applyFont="1" applyFill="1" applyBorder="1" applyAlignment="1" applyProtection="1">
      <alignment horizontal="center" vertical="center"/>
      <protection locked="0"/>
    </xf>
    <xf numFmtId="167" fontId="27" fillId="19" borderId="70" xfId="2" applyNumberFormat="1" applyFont="1" applyFill="1" applyBorder="1" applyAlignment="1" applyProtection="1">
      <alignment horizontal="center" vertical="center"/>
      <protection locked="0"/>
    </xf>
    <xf numFmtId="164" fontId="5" fillId="5" borderId="0" xfId="0" applyNumberFormat="1" applyFont="1" applyFill="1" applyAlignment="1" applyProtection="1">
      <alignment horizontal="center" vertical="center"/>
      <protection locked="0"/>
    </xf>
    <xf numFmtId="9" fontId="5" fillId="5" borderId="0" xfId="3" applyFont="1" applyFill="1" applyBorder="1" applyAlignment="1" applyProtection="1">
      <alignment horizontal="center" vertical="center"/>
      <protection locked="0"/>
    </xf>
    <xf numFmtId="0" fontId="4" fillId="5" borderId="0" xfId="0" applyFont="1" applyFill="1" applyAlignment="1">
      <alignment horizontal="left" vertical="top" wrapText="1"/>
    </xf>
    <xf numFmtId="0" fontId="5" fillId="5" borderId="71" xfId="0" applyFont="1" applyFill="1" applyBorder="1" applyAlignment="1">
      <alignment horizontal="left" vertical="top" wrapText="1"/>
    </xf>
    <xf numFmtId="0" fontId="27" fillId="19" borderId="70" xfId="4" applyFont="1" applyFill="1" applyBorder="1" applyAlignment="1" applyProtection="1">
      <alignment horizontal="left" vertical="top" wrapText="1"/>
      <protection locked="0"/>
    </xf>
    <xf numFmtId="166" fontId="5" fillId="5" borderId="0" xfId="2" applyNumberFormat="1"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5" fillId="5" borderId="0" xfId="0" applyFont="1" applyFill="1" applyAlignment="1">
      <alignment horizontal="left" vertical="top" wrapText="1"/>
    </xf>
    <xf numFmtId="167" fontId="11" fillId="5" borderId="70" xfId="2" applyNumberFormat="1" applyFont="1" applyFill="1" applyBorder="1" applyAlignment="1" applyProtection="1">
      <alignment horizontal="center" vertical="center"/>
      <protection locked="0"/>
    </xf>
    <xf numFmtId="166" fontId="11" fillId="5" borderId="70" xfId="2" applyNumberFormat="1" applyFont="1" applyFill="1" applyBorder="1" applyAlignment="1" applyProtection="1">
      <alignment horizontal="center" vertical="center"/>
      <protection locked="0"/>
    </xf>
    <xf numFmtId="9" fontId="11" fillId="5" borderId="66" xfId="3" applyFont="1" applyFill="1" applyBorder="1" applyAlignment="1" applyProtection="1">
      <alignment horizontal="center" vertical="center"/>
    </xf>
    <xf numFmtId="9" fontId="11" fillId="5" borderId="72" xfId="3" applyFont="1" applyFill="1" applyBorder="1" applyAlignment="1" applyProtection="1">
      <alignment horizontal="center" vertical="center"/>
    </xf>
    <xf numFmtId="0" fontId="42" fillId="0" borderId="0" xfId="0" applyFont="1" applyAlignment="1">
      <alignment vertical="top" wrapText="1"/>
    </xf>
    <xf numFmtId="0" fontId="42" fillId="0" borderId="69" xfId="0" applyFont="1" applyBorder="1" applyAlignment="1">
      <alignment vertical="top" wrapText="1"/>
    </xf>
    <xf numFmtId="166" fontId="5" fillId="5" borderId="0" xfId="0" applyNumberFormat="1" applyFont="1" applyFill="1" applyAlignment="1" applyProtection="1">
      <alignment horizontal="center" vertical="center"/>
      <protection locked="0"/>
    </xf>
    <xf numFmtId="0" fontId="22" fillId="5" borderId="0" xfId="1" applyFont="1" applyFill="1" applyBorder="1" applyAlignment="1" applyProtection="1">
      <alignment horizontal="left" vertical="top" wrapText="1" indent="1"/>
    </xf>
    <xf numFmtId="0" fontId="13" fillId="21" borderId="65" xfId="0" applyFont="1" applyFill="1" applyBorder="1" applyAlignment="1">
      <alignment horizontal="left" vertical="center"/>
    </xf>
    <xf numFmtId="0" fontId="22" fillId="5" borderId="0" xfId="0" applyFont="1" applyFill="1" applyAlignment="1">
      <alignment horizontal="left" vertical="top" wrapText="1"/>
    </xf>
    <xf numFmtId="0" fontId="22" fillId="5" borderId="69" xfId="0" applyFont="1" applyFill="1" applyBorder="1" applyAlignment="1">
      <alignment horizontal="left" vertical="top" wrapText="1"/>
    </xf>
    <xf numFmtId="0" fontId="22" fillId="0" borderId="0" xfId="0" applyFont="1" applyAlignment="1">
      <alignment horizontal="left" vertical="top" wrapText="1" indent="1"/>
    </xf>
    <xf numFmtId="0" fontId="22" fillId="0" borderId="69" xfId="0" applyFont="1" applyBorder="1" applyAlignment="1">
      <alignment horizontal="left" vertical="top" wrapText="1" indent="1"/>
    </xf>
    <xf numFmtId="0" fontId="22" fillId="5" borderId="69" xfId="0" applyFont="1" applyFill="1" applyBorder="1" applyAlignment="1">
      <alignment horizontal="left" vertical="top" wrapText="1" indent="1"/>
    </xf>
    <xf numFmtId="0" fontId="42" fillId="5" borderId="0" xfId="0" applyFont="1" applyFill="1" applyAlignment="1">
      <alignment horizontal="left"/>
    </xf>
    <xf numFmtId="0" fontId="42" fillId="5" borderId="69" xfId="0" applyFont="1" applyFill="1" applyBorder="1" applyAlignment="1">
      <alignment horizontal="left"/>
    </xf>
    <xf numFmtId="0" fontId="42" fillId="5" borderId="0" xfId="0" applyFont="1" applyFill="1"/>
    <xf numFmtId="0" fontId="5" fillId="5" borderId="68" xfId="0" applyFont="1" applyFill="1" applyBorder="1" applyAlignment="1" applyProtection="1">
      <alignment horizontal="left" vertical="center" wrapText="1"/>
      <protection locked="0"/>
    </xf>
    <xf numFmtId="9" fontId="27" fillId="19" borderId="66" xfId="3" applyFont="1" applyFill="1" applyBorder="1" applyAlignment="1" applyProtection="1">
      <alignment horizontal="center" vertical="center"/>
      <protection locked="0"/>
    </xf>
    <xf numFmtId="9" fontId="27" fillId="19" borderId="67" xfId="3" applyFont="1" applyFill="1" applyBorder="1" applyAlignment="1" applyProtection="1">
      <alignment horizontal="center" vertical="center"/>
      <protection locked="0"/>
    </xf>
    <xf numFmtId="0" fontId="5" fillId="5" borderId="0" xfId="0" applyFont="1" applyFill="1" applyAlignment="1">
      <alignment horizontal="left" vertical="top"/>
    </xf>
    <xf numFmtId="0" fontId="42" fillId="5" borderId="0" xfId="0" applyFont="1" applyFill="1" applyAlignment="1">
      <alignment horizontal="left" vertical="top" wrapText="1" indent="1"/>
    </xf>
    <xf numFmtId="0" fontId="42" fillId="5" borderId="69" xfId="0" applyFont="1" applyFill="1" applyBorder="1" applyAlignment="1">
      <alignment horizontal="left" vertical="top" wrapText="1" indent="1"/>
    </xf>
    <xf numFmtId="167" fontId="5" fillId="5" borderId="0" xfId="2" applyNumberFormat="1" applyFont="1" applyFill="1" applyAlignment="1" applyProtection="1">
      <alignment horizontal="center" vertical="center"/>
      <protection locked="0"/>
    </xf>
    <xf numFmtId="3" fontId="27" fillId="19" borderId="66" xfId="4" applyNumberFormat="1" applyFont="1" applyFill="1" applyBorder="1" applyAlignment="1" applyProtection="1">
      <alignment horizontal="center" vertical="center"/>
      <protection locked="0"/>
    </xf>
    <xf numFmtId="3" fontId="27" fillId="19" borderId="67" xfId="4" applyNumberFormat="1" applyFont="1" applyFill="1" applyBorder="1" applyAlignment="1" applyProtection="1">
      <alignment horizontal="center" vertical="center"/>
      <protection locked="0"/>
    </xf>
    <xf numFmtId="0" fontId="42" fillId="5" borderId="0" xfId="0" applyFont="1" applyFill="1" applyAlignment="1" applyProtection="1">
      <alignment horizontal="center" vertical="top" wrapText="1"/>
      <protection locked="0"/>
    </xf>
    <xf numFmtId="3" fontId="5" fillId="5" borderId="0" xfId="0" applyNumberFormat="1" applyFont="1" applyFill="1" applyAlignment="1" applyProtection="1">
      <alignment horizontal="center" vertical="center"/>
      <protection locked="0"/>
    </xf>
    <xf numFmtId="4" fontId="27" fillId="5" borderId="0" xfId="4" applyNumberFormat="1" applyFont="1" applyFill="1" applyBorder="1" applyAlignment="1" applyProtection="1">
      <alignment horizontal="center" vertical="center"/>
      <protection locked="0"/>
    </xf>
    <xf numFmtId="0" fontId="42" fillId="5" borderId="0" xfId="0" applyFont="1" applyFill="1" applyAlignment="1">
      <alignment horizontal="left" vertical="top"/>
    </xf>
    <xf numFmtId="0" fontId="42" fillId="5" borderId="69" xfId="0" applyFont="1" applyFill="1" applyBorder="1" applyAlignment="1">
      <alignment horizontal="left" vertical="top"/>
    </xf>
    <xf numFmtId="0" fontId="22" fillId="5" borderId="75" xfId="1" applyFont="1" applyFill="1" applyBorder="1" applyAlignment="1" applyProtection="1">
      <alignment horizontal="left" vertical="top" wrapText="1"/>
    </xf>
    <xf numFmtId="0" fontId="22" fillId="5" borderId="0" xfId="1" applyFont="1" applyFill="1" applyBorder="1" applyAlignment="1" applyProtection="1">
      <alignment horizontal="left" vertical="top" wrapText="1"/>
    </xf>
    <xf numFmtId="0" fontId="22" fillId="5" borderId="69" xfId="1" applyFont="1" applyFill="1" applyBorder="1" applyAlignment="1" applyProtection="1">
      <alignment horizontal="left" vertical="top" wrapText="1"/>
    </xf>
    <xf numFmtId="0" fontId="59" fillId="5" borderId="69" xfId="1" applyFont="1" applyFill="1" applyBorder="1" applyAlignment="1" applyProtection="1">
      <alignment horizontal="left" vertical="top" wrapText="1" indent="1"/>
    </xf>
    <xf numFmtId="0" fontId="42" fillId="5" borderId="0" xfId="0" applyFont="1" applyFill="1" applyAlignment="1">
      <alignment horizontal="right" indent="1"/>
    </xf>
    <xf numFmtId="3" fontId="27" fillId="19" borderId="70" xfId="0" applyNumberFormat="1" applyFont="1" applyFill="1" applyBorder="1" applyAlignment="1" applyProtection="1">
      <alignment horizontal="center" vertical="center"/>
      <protection locked="0"/>
    </xf>
    <xf numFmtId="1" fontId="5" fillId="5" borderId="0" xfId="0" applyNumberFormat="1" applyFont="1" applyFill="1" applyAlignment="1" applyProtection="1">
      <alignment horizontal="center" vertical="center"/>
      <protection locked="0"/>
    </xf>
    <xf numFmtId="0" fontId="18" fillId="5" borderId="71" xfId="0" applyFont="1" applyFill="1" applyBorder="1" applyAlignment="1">
      <alignment horizontal="left" vertical="top" wrapText="1"/>
    </xf>
    <xf numFmtId="0" fontId="34" fillId="0" borderId="0" xfId="0" applyFont="1" applyAlignment="1">
      <alignment horizontal="center"/>
    </xf>
    <xf numFmtId="0" fontId="6" fillId="9" borderId="43"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6" fillId="9" borderId="45" xfId="0" applyFont="1" applyFill="1" applyBorder="1" applyAlignment="1">
      <alignment horizontal="center" vertical="center" wrapText="1"/>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vertical="center"/>
    </xf>
    <xf numFmtId="0" fontId="7" fillId="7" borderId="18" xfId="0" applyFont="1" applyFill="1" applyBorder="1" applyAlignment="1">
      <alignment horizontal="center" vertical="center"/>
    </xf>
    <xf numFmtId="0" fontId="7" fillId="7" borderId="0" xfId="0" applyFont="1" applyFill="1" applyAlignment="1">
      <alignment horizontal="center" vertical="center"/>
    </xf>
    <xf numFmtId="0" fontId="7" fillId="7" borderId="19" xfId="0" applyFont="1" applyFill="1" applyBorder="1" applyAlignment="1">
      <alignment horizontal="center" vertical="center"/>
    </xf>
    <xf numFmtId="0" fontId="7" fillId="7" borderId="53"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42" xfId="0" applyFont="1" applyFill="1" applyBorder="1" applyAlignment="1">
      <alignment horizontal="center" vertical="center"/>
    </xf>
    <xf numFmtId="0" fontId="8" fillId="7" borderId="18" xfId="0" applyFont="1" applyFill="1" applyBorder="1" applyAlignment="1">
      <alignment horizontal="center" vertical="center" wrapText="1"/>
    </xf>
    <xf numFmtId="0" fontId="8" fillId="7" borderId="0" xfId="0" applyFont="1" applyFill="1" applyAlignment="1">
      <alignment horizontal="center" vertical="center" wrapText="1"/>
    </xf>
    <xf numFmtId="0" fontId="8" fillId="7" borderId="6" xfId="0" applyFont="1" applyFill="1" applyBorder="1" applyAlignment="1">
      <alignment horizontal="center" vertical="center" wrapText="1"/>
    </xf>
    <xf numFmtId="0" fontId="6" fillId="9" borderId="60" xfId="0" applyFont="1" applyFill="1" applyBorder="1" applyAlignment="1">
      <alignment horizontal="center" vertical="center" wrapText="1"/>
    </xf>
    <xf numFmtId="0" fontId="6" fillId="9" borderId="61" xfId="0" applyFont="1" applyFill="1" applyBorder="1" applyAlignment="1">
      <alignment horizontal="center" vertical="center" wrapText="1"/>
    </xf>
    <xf numFmtId="0" fontId="6" fillId="9" borderId="64"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8" xfId="0" applyFont="1" applyFill="1" applyBorder="1" applyAlignment="1">
      <alignment horizontal="center" vertical="center" wrapText="1"/>
    </xf>
    <xf numFmtId="0" fontId="6" fillId="9" borderId="59" xfId="0" applyFont="1" applyFill="1" applyBorder="1" applyAlignment="1">
      <alignment horizontal="center" vertical="center" wrapText="1"/>
    </xf>
    <xf numFmtId="0" fontId="6" fillId="9" borderId="38" xfId="0" applyFont="1" applyFill="1" applyBorder="1" applyAlignment="1">
      <alignment horizontal="center" vertical="center" wrapText="1"/>
    </xf>
    <xf numFmtId="0" fontId="6" fillId="9" borderId="40"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30" xfId="0" applyFont="1" applyFill="1" applyBorder="1" applyAlignment="1">
      <alignment horizontal="center" vertical="center" wrapText="1"/>
    </xf>
    <xf numFmtId="0" fontId="6" fillId="9" borderId="41" xfId="0" applyFont="1" applyFill="1" applyBorder="1" applyAlignment="1">
      <alignment horizontal="center" vertical="center" wrapText="1"/>
    </xf>
    <xf numFmtId="0" fontId="6" fillId="9" borderId="50" xfId="0" applyFont="1" applyFill="1" applyBorder="1" applyAlignment="1">
      <alignment horizontal="center" vertical="center"/>
    </xf>
    <xf numFmtId="0" fontId="6" fillId="9" borderId="51" xfId="0" applyFont="1" applyFill="1" applyBorder="1" applyAlignment="1">
      <alignment horizontal="center" vertical="center"/>
    </xf>
    <xf numFmtId="0" fontId="6" fillId="9" borderId="52" xfId="0" applyFont="1" applyFill="1" applyBorder="1" applyAlignment="1">
      <alignment horizontal="center" vertical="center"/>
    </xf>
    <xf numFmtId="0" fontId="6" fillId="9" borderId="28"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35" xfId="0" applyFont="1" applyFill="1" applyBorder="1" applyAlignment="1">
      <alignment horizontal="center" vertical="center" wrapText="1"/>
    </xf>
    <xf numFmtId="0" fontId="7" fillId="8" borderId="28" xfId="0" applyFont="1" applyFill="1" applyBorder="1" applyAlignment="1">
      <alignment horizontal="center" vertical="center" wrapText="1"/>
    </xf>
    <xf numFmtId="0" fontId="7" fillId="8" borderId="26" xfId="0" applyFont="1" applyFill="1" applyBorder="1" applyAlignment="1">
      <alignment horizontal="center" vertical="center" wrapText="1"/>
    </xf>
    <xf numFmtId="0" fontId="7" fillId="8" borderId="35"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9" borderId="36"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31" xfId="0" applyFont="1" applyFill="1" applyBorder="1" applyAlignment="1">
      <alignment horizontal="center" vertical="center" wrapText="1"/>
    </xf>
    <xf numFmtId="0" fontId="6" fillId="9" borderId="33" xfId="0" applyFont="1" applyFill="1" applyBorder="1" applyAlignment="1">
      <alignment horizontal="center" vertical="center" wrapText="1"/>
    </xf>
    <xf numFmtId="0" fontId="6" fillId="9" borderId="48" xfId="0" applyFont="1" applyFill="1" applyBorder="1" applyAlignment="1">
      <alignment horizontal="left" vertical="center" wrapText="1"/>
    </xf>
    <xf numFmtId="0" fontId="6" fillId="9" borderId="18" xfId="0" applyFont="1" applyFill="1" applyBorder="1" applyAlignment="1">
      <alignment horizontal="left" vertical="center" wrapText="1"/>
    </xf>
    <xf numFmtId="0" fontId="6" fillId="9" borderId="20" xfId="0" applyFont="1" applyFill="1" applyBorder="1" applyAlignment="1">
      <alignment horizontal="left" vertical="center" wrapText="1"/>
    </xf>
    <xf numFmtId="0" fontId="6" fillId="9" borderId="27"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6" fillId="9" borderId="22"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6" fillId="9" borderId="18" xfId="0" applyFont="1" applyFill="1" applyBorder="1" applyAlignment="1">
      <alignment horizontal="center" vertical="center" wrapText="1"/>
    </xf>
    <xf numFmtId="0" fontId="6" fillId="9" borderId="20" xfId="0" applyFont="1" applyFill="1" applyBorder="1" applyAlignment="1">
      <alignment horizontal="center" vertical="center" wrapText="1"/>
    </xf>
    <xf numFmtId="0" fontId="6" fillId="9" borderId="4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9" borderId="47" xfId="0" applyFont="1" applyFill="1" applyBorder="1" applyAlignment="1">
      <alignment horizontal="center" vertical="center" wrapText="1"/>
    </xf>
    <xf numFmtId="0" fontId="6" fillId="7" borderId="15" xfId="0" applyFont="1" applyFill="1" applyBorder="1" applyAlignment="1">
      <alignment horizontal="center" vertical="center"/>
    </xf>
    <xf numFmtId="0" fontId="6" fillId="7" borderId="16" xfId="0" applyFont="1" applyFill="1" applyBorder="1" applyAlignment="1">
      <alignment horizontal="center" vertical="center"/>
    </xf>
    <xf numFmtId="0" fontId="6" fillId="7" borderId="17" xfId="0" applyFont="1" applyFill="1" applyBorder="1" applyAlignment="1">
      <alignment horizontal="center" vertical="center"/>
    </xf>
    <xf numFmtId="0" fontId="6" fillId="7" borderId="18" xfId="0" applyFont="1" applyFill="1" applyBorder="1" applyAlignment="1">
      <alignment horizontal="center" vertical="center"/>
    </xf>
    <xf numFmtId="0" fontId="6" fillId="7" borderId="0" xfId="0" applyFont="1" applyFill="1" applyAlignment="1">
      <alignment horizontal="center" vertical="center"/>
    </xf>
    <xf numFmtId="0" fontId="6" fillId="7" borderId="19"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21" xfId="0" applyFont="1" applyFill="1" applyBorder="1" applyAlignment="1">
      <alignment horizontal="center" vertical="center"/>
    </xf>
    <xf numFmtId="0" fontId="6" fillId="7" borderId="2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21" xfId="0" applyFont="1" applyFill="1" applyBorder="1" applyAlignment="1">
      <alignment horizontal="center" vertical="center"/>
    </xf>
    <xf numFmtId="0" fontId="7" fillId="7" borderId="22" xfId="0" applyFont="1" applyFill="1" applyBorder="1" applyAlignment="1">
      <alignment horizontal="center" vertical="center"/>
    </xf>
    <xf numFmtId="0" fontId="6" fillId="9" borderId="49"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7" fillId="8" borderId="3" xfId="0" applyFont="1" applyFill="1" applyBorder="1" applyAlignment="1">
      <alignment horizontal="center" vertical="center"/>
    </xf>
    <xf numFmtId="0" fontId="7" fillId="8" borderId="4" xfId="0" applyFont="1" applyFill="1" applyBorder="1" applyAlignment="1">
      <alignment horizontal="center" vertical="center"/>
    </xf>
    <xf numFmtId="0" fontId="7" fillId="8" borderId="0" xfId="0" applyFont="1" applyFill="1" applyAlignment="1">
      <alignment horizontal="center" vertical="center"/>
    </xf>
    <xf numFmtId="0" fontId="7" fillId="8" borderId="6" xfId="0" applyFont="1" applyFill="1" applyBorder="1" applyAlignment="1">
      <alignment horizontal="center" vertical="center"/>
    </xf>
    <xf numFmtId="0" fontId="7" fillId="8" borderId="8" xfId="0" applyFont="1" applyFill="1" applyBorder="1" applyAlignment="1">
      <alignment horizontal="center" vertical="center"/>
    </xf>
    <xf numFmtId="0" fontId="7" fillId="8" borderId="9" xfId="0" applyFont="1" applyFill="1" applyBorder="1" applyAlignment="1">
      <alignment horizontal="center" vertical="center"/>
    </xf>
    <xf numFmtId="0" fontId="7" fillId="7" borderId="54" xfId="0" applyFont="1" applyFill="1" applyBorder="1" applyAlignment="1">
      <alignment horizontal="center" vertical="center"/>
    </xf>
    <xf numFmtId="0" fontId="7" fillId="7" borderId="5" xfId="0" applyFont="1" applyFill="1" applyBorder="1" applyAlignment="1">
      <alignment horizontal="center" vertical="center"/>
    </xf>
    <xf numFmtId="0" fontId="7" fillId="7" borderId="55" xfId="0" applyFont="1" applyFill="1" applyBorder="1" applyAlignment="1">
      <alignment horizontal="center" vertical="center"/>
    </xf>
    <xf numFmtId="0" fontId="6" fillId="9" borderId="49" xfId="0" applyFont="1" applyFill="1" applyBorder="1" applyAlignment="1">
      <alignment horizontal="center" vertical="center"/>
    </xf>
    <xf numFmtId="0" fontId="6" fillId="9" borderId="26"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25" xfId="0" applyFont="1" applyFill="1" applyBorder="1" applyAlignment="1">
      <alignment horizontal="center" vertical="center"/>
    </xf>
    <xf numFmtId="0" fontId="6" fillId="9" borderId="31" xfId="0" applyFont="1" applyFill="1" applyBorder="1" applyAlignment="1">
      <alignment horizontal="center" vertical="center"/>
    </xf>
    <xf numFmtId="0" fontId="6" fillId="9" borderId="33" xfId="0" applyFont="1" applyFill="1" applyBorder="1" applyAlignment="1">
      <alignment horizontal="center" vertical="center"/>
    </xf>
    <xf numFmtId="0" fontId="6" fillId="9" borderId="50"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6" fillId="9" borderId="52" xfId="0" applyFont="1" applyFill="1" applyBorder="1" applyAlignment="1">
      <alignment horizontal="center" vertical="center" wrapText="1"/>
    </xf>
  </cellXfs>
  <cellStyles count="6">
    <cellStyle name="Calculation" xfId="4" builtinId="22"/>
    <cellStyle name="Currency" xfId="2" builtinId="4"/>
    <cellStyle name="Hyperlink" xfId="1" builtinId="8"/>
    <cellStyle name="Normal" xfId="0" builtinId="0"/>
    <cellStyle name="Normal 2" xfId="5" xr:uid="{84B97F50-3CE7-4CC5-8D24-4FBC3758D1E5}"/>
    <cellStyle name="Percent" xfId="3" builtinId="5"/>
  </cellStyles>
  <dxfs count="4">
    <dxf>
      <font>
        <b/>
        <i val="0"/>
        <color theme="0"/>
      </font>
      <fill>
        <patternFill>
          <bgColor rgb="FFC00000"/>
        </patternFill>
      </fill>
    </dxf>
    <dxf>
      <font>
        <color theme="0"/>
      </font>
      <fill>
        <patternFill>
          <bgColor theme="0"/>
        </patternFill>
      </fill>
    </dxf>
    <dxf>
      <font>
        <color theme="0"/>
      </font>
      <fill>
        <patternFill>
          <bgColor theme="0"/>
        </patternFill>
      </fill>
    </dxf>
    <dxf>
      <font>
        <color theme="0"/>
      </font>
      <fill>
        <patternFill>
          <bgColor theme="0"/>
        </patternFill>
      </fill>
    </dxf>
  </dxfs>
  <tableStyles count="0" defaultTableStyle="TableStyleMedium2" defaultPivotStyle="PivotStyleMedium9"/>
  <colors>
    <mruColors>
      <color rgb="FFEF3031"/>
      <color rgb="FFFA413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Application'!$P$5:$P$14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Application'!$Q$5:$Q$14</c:f>
              <c:numCache>
                <c:formatCode>0.0</c:formatCode>
                <c:ptCount val="10"/>
                <c:pt idx="0">
                  <c:v>10</c:v>
                </c:pt>
                <c:pt idx="1">
                  <c:v>9.5</c:v>
                </c:pt>
                <c:pt idx="2">
                  <c:v>6</c:v>
                </c:pt>
                <c:pt idx="3">
                  <c:v>5</c:v>
                </c:pt>
                <c:pt idx="4">
                  <c:v>10</c:v>
                </c:pt>
                <c:pt idx="5">
                  <c:v>7</c:v>
                </c:pt>
                <c:pt idx="6">
                  <c:v>6</c:v>
                </c:pt>
                <c:pt idx="7">
                  <c:v>2</c:v>
                </c:pt>
                <c:pt idx="8">
                  <c:v>7.2222222222222232</c:v>
                </c:pt>
                <c:pt idx="9">
                  <c:v>3.3333333333333335</c:v>
                </c:pt>
              </c:numCache>
            </c:numRef>
          </c:val>
          <c:extLst>
            <c:ext xmlns:c16="http://schemas.microsoft.com/office/drawing/2014/chart" uri="{C3380CC4-5D6E-409C-BE32-E72D297353CC}">
              <c16:uniqueId val="{00000000-62D4-4A4E-9BC8-46E9504A04C2}"/>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2090818034933"/>
          <c:y val="0.20551634203619287"/>
          <c:w val="0.4247947418828914"/>
          <c:h val="0.64211078878298111"/>
        </c:manualLayout>
      </c:layout>
      <c:radarChart>
        <c:radarStyle val="marker"/>
        <c:varyColors val="0"/>
        <c:ser>
          <c:idx val="0"/>
          <c:order val="0"/>
          <c:spPr>
            <a:ln w="57150" cap="rnd">
              <a:solidFill>
                <a:schemeClr val="bg1"/>
              </a:solidFill>
              <a:round/>
            </a:ln>
            <a:effectLst/>
          </c:spPr>
          <c:marker>
            <c:symbol val="none"/>
          </c:marker>
          <c:cat>
            <c:strRef>
              <c:f>'Common Application'!$P$5:$P$14</c:f>
              <c:strCache>
                <c:ptCount val="10"/>
                <c:pt idx="0">
                  <c:v>Integration</c:v>
                </c:pt>
                <c:pt idx="1">
                  <c:v>Equitable
Communities </c:v>
                </c:pt>
                <c:pt idx="2">
                  <c:v>Ecosystems</c:v>
                </c:pt>
                <c:pt idx="3">
                  <c:v>Water</c:v>
                </c:pt>
                <c:pt idx="4">
                  <c:v>Economy</c:v>
                </c:pt>
                <c:pt idx="5">
                  <c:v>Energy</c:v>
                </c:pt>
                <c:pt idx="6">
                  <c:v>Well-being</c:v>
                </c:pt>
                <c:pt idx="7">
                  <c:v>Resources</c:v>
                </c:pt>
                <c:pt idx="8">
                  <c:v>Change</c:v>
                </c:pt>
                <c:pt idx="9">
                  <c:v>Discovery</c:v>
                </c:pt>
              </c:strCache>
              <c:extLst xmlns:c15="http://schemas.microsoft.com/office/drawing/2012/chart"/>
            </c:strRef>
          </c:cat>
          <c:val>
            <c:numRef>
              <c:f>'Common Application'!$Q$5:$Q$14</c:f>
              <c:numCache>
                <c:formatCode>0.0</c:formatCode>
                <c:ptCount val="10"/>
                <c:pt idx="0">
                  <c:v>10</c:v>
                </c:pt>
                <c:pt idx="1">
                  <c:v>9.5</c:v>
                </c:pt>
                <c:pt idx="2">
                  <c:v>6</c:v>
                </c:pt>
                <c:pt idx="3">
                  <c:v>5</c:v>
                </c:pt>
                <c:pt idx="4">
                  <c:v>10</c:v>
                </c:pt>
                <c:pt idx="5">
                  <c:v>7</c:v>
                </c:pt>
                <c:pt idx="6">
                  <c:v>6</c:v>
                </c:pt>
                <c:pt idx="7">
                  <c:v>2</c:v>
                </c:pt>
                <c:pt idx="8">
                  <c:v>7.2222222222222232</c:v>
                </c:pt>
                <c:pt idx="9">
                  <c:v>3.3333333333333335</c:v>
                </c:pt>
              </c:numCache>
            </c:numRef>
          </c:val>
          <c:extLst>
            <c:ext xmlns:c16="http://schemas.microsoft.com/office/drawing/2014/chart" uri="{C3380CC4-5D6E-409C-BE32-E72D297353CC}">
              <c16:uniqueId val="{00000000-EE0F-47D0-9788-EE217D9D66FD}"/>
            </c:ext>
          </c:extLst>
        </c:ser>
        <c:dLbls>
          <c:showLegendKey val="0"/>
          <c:showVal val="0"/>
          <c:showCatName val="0"/>
          <c:showSerName val="0"/>
          <c:showPercent val="0"/>
          <c:showBubbleSize val="0"/>
        </c:dLbls>
        <c:axId val="937104536"/>
        <c:axId val="937095352"/>
      </c:radarChart>
      <c:catAx>
        <c:axId val="93710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b" anchorCtr="1"/>
          <a:lstStyle/>
          <a:p>
            <a:pPr>
              <a:defRPr sz="1100" b="1" i="0" u="none" strike="noStrike" kern="1200" baseline="0">
                <a:ln>
                  <a:noFill/>
                </a:ln>
                <a:solidFill>
                  <a:schemeClr val="bg1">
                    <a:lumMod val="95000"/>
                  </a:schemeClr>
                </a:solidFill>
                <a:latin typeface="Arial" panose="020B0604020202020204" pitchFamily="34" charset="0"/>
                <a:ea typeface="+mn-ea"/>
                <a:cs typeface="Arial" panose="020B0604020202020204" pitchFamily="34" charset="0"/>
              </a:defRPr>
            </a:pPr>
            <a:endParaRPr lang="en-US"/>
          </a:p>
        </c:txPr>
        <c:crossAx val="937095352"/>
        <c:crosses val="autoZero"/>
        <c:auto val="1"/>
        <c:lblAlgn val="ctr"/>
        <c:lblOffset val="100"/>
        <c:noMultiLvlLbl val="0"/>
      </c:catAx>
      <c:valAx>
        <c:axId val="937095352"/>
        <c:scaling>
          <c:orientation val="minMax"/>
        </c:scaling>
        <c:delete val="1"/>
        <c:axPos val="l"/>
        <c:majorGridlines>
          <c:spPr>
            <a:ln w="9525" cap="flat" cmpd="sng" algn="ctr">
              <a:solidFill>
                <a:schemeClr val="bg1">
                  <a:lumMod val="65000"/>
                </a:schemeClr>
              </a:solidFill>
              <a:round/>
            </a:ln>
            <a:effectLst>
              <a:outerShdw blurRad="50800" dist="50800" dir="5400000" algn="ctr" rotWithShape="0">
                <a:srgbClr val="000000">
                  <a:alpha val="60000"/>
                </a:srgbClr>
              </a:outerShdw>
            </a:effectLst>
          </c:spPr>
        </c:majorGridlines>
        <c:numFmt formatCode="0.0" sourceLinked="1"/>
        <c:majorTickMark val="none"/>
        <c:minorTickMark val="none"/>
        <c:tickLblPos val="nextTo"/>
        <c:crossAx val="937104536"/>
        <c:crosses val="autoZero"/>
        <c:crossBetween val="between"/>
      </c:valAx>
      <c:spPr>
        <a:solidFill>
          <a:schemeClr val="tx1">
            <a:alpha val="98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tx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I$53" noThreeD="1"/>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Common Application (HZ)'!E79"/><Relationship Id="rId1" Type="http://schemas.openxmlformats.org/officeDocument/2006/relationships/hyperlink" Target="#'Common Application (HZ)'!E77"/><Relationship Id="rId5" Type="http://schemas.openxmlformats.org/officeDocument/2006/relationships/image" Target="../media/image2.pn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1076325</xdr:colOff>
          <xdr:row>52</xdr:row>
          <xdr:rowOff>19050</xdr:rowOff>
        </xdr:from>
        <xdr:to>
          <xdr:col>8</xdr:col>
          <xdr:colOff>600075</xdr:colOff>
          <xdr:row>53</xdr:row>
          <xdr:rowOff>47625</xdr:rowOff>
        </xdr:to>
        <xdr:sp macro="" textlink="">
          <xdr:nvSpPr>
            <xdr:cNvPr id="1032" name="Check Box 8" descr="Confidential"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1083468</xdr:colOff>
      <xdr:row>86</xdr:row>
      <xdr:rowOff>38100</xdr:rowOff>
    </xdr:from>
    <xdr:to>
      <xdr:col>9</xdr:col>
      <xdr:colOff>1191750</xdr:colOff>
      <xdr:row>86</xdr:row>
      <xdr:rowOff>131446</xdr:rowOff>
    </xdr:to>
    <xdr:sp macro="" textlink="">
      <xdr:nvSpPr>
        <xdr:cNvPr id="39" name="Isosceles Triangle 38">
          <a:hlinkClick xmlns:r="http://schemas.openxmlformats.org/officeDocument/2006/relationships" r:id="rId1"/>
          <a:extLst>
            <a:ext uri="{FF2B5EF4-FFF2-40B4-BE49-F238E27FC236}">
              <a16:creationId xmlns:a16="http://schemas.microsoft.com/office/drawing/2014/main" id="{00000000-0008-0000-0000-000027000000}"/>
            </a:ext>
          </a:extLst>
        </xdr:cNvPr>
        <xdr:cNvSpPr/>
      </xdr:nvSpPr>
      <xdr:spPr>
        <a:xfrm rot="10800000">
          <a:off x="7579518" y="6315075"/>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1083468</xdr:colOff>
      <xdr:row>89</xdr:row>
      <xdr:rowOff>38100</xdr:rowOff>
    </xdr:from>
    <xdr:to>
      <xdr:col>9</xdr:col>
      <xdr:colOff>1191750</xdr:colOff>
      <xdr:row>89</xdr:row>
      <xdr:rowOff>131446</xdr:rowOff>
    </xdr:to>
    <xdr:sp macro="" textlink="">
      <xdr:nvSpPr>
        <xdr:cNvPr id="41" name="Isosceles Triangle 40">
          <a:hlinkClick xmlns:r="http://schemas.openxmlformats.org/officeDocument/2006/relationships" r:id="rId2"/>
          <a:extLst>
            <a:ext uri="{FF2B5EF4-FFF2-40B4-BE49-F238E27FC236}">
              <a16:creationId xmlns:a16="http://schemas.microsoft.com/office/drawing/2014/main" id="{00000000-0008-0000-0000-000029000000}"/>
            </a:ext>
          </a:extLst>
        </xdr:cNvPr>
        <xdr:cNvSpPr/>
      </xdr:nvSpPr>
      <xdr:spPr>
        <a:xfrm rot="10800000">
          <a:off x="7579518" y="6915150"/>
          <a:ext cx="108282" cy="93346"/>
        </a:xfrm>
        <a:prstGeom prst="triangle">
          <a:avLst/>
        </a:prstGeom>
        <a:solidFill>
          <a:schemeClr val="bg1">
            <a:lumMod val="85000"/>
          </a:schemeClr>
        </a:solidFill>
        <a:ln w="3175">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0</xdr:col>
      <xdr:colOff>152400</xdr:colOff>
      <xdr:row>91</xdr:row>
      <xdr:rowOff>94086</xdr:rowOff>
    </xdr:from>
    <xdr:to>
      <xdr:col>1</xdr:col>
      <xdr:colOff>812165</xdr:colOff>
      <xdr:row>91</xdr:row>
      <xdr:rowOff>721037</xdr:rowOff>
    </xdr:to>
    <xdr:pic>
      <xdr:nvPicPr>
        <xdr:cNvPr id="86" name="Picture 85">
          <a:extLst>
            <a:ext uri="{FF2B5EF4-FFF2-40B4-BE49-F238E27FC236}">
              <a16:creationId xmlns:a16="http://schemas.microsoft.com/office/drawing/2014/main" id="{00000000-0008-0000-0000-00005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539" r="77318" b="82719"/>
        <a:stretch/>
      </xdr:blipFill>
      <xdr:spPr>
        <a:xfrm>
          <a:off x="152400" y="17633454"/>
          <a:ext cx="850098" cy="626951"/>
        </a:xfrm>
        <a:prstGeom prst="rect">
          <a:avLst/>
        </a:prstGeom>
      </xdr:spPr>
    </xdr:pic>
    <xdr:clientData/>
  </xdr:twoCellAnchor>
  <xdr:twoCellAnchor editAs="oneCell">
    <xdr:from>
      <xdr:col>0</xdr:col>
      <xdr:colOff>152400</xdr:colOff>
      <xdr:row>103</xdr:row>
      <xdr:rowOff>123825</xdr:rowOff>
    </xdr:from>
    <xdr:to>
      <xdr:col>1</xdr:col>
      <xdr:colOff>939959</xdr:colOff>
      <xdr:row>103</xdr:row>
      <xdr:rowOff>749934</xdr:rowOff>
    </xdr:to>
    <xdr:pic>
      <xdr:nvPicPr>
        <xdr:cNvPr id="87" name="Picture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24786" r="77474" b="64043"/>
        <a:stretch/>
      </xdr:blipFill>
      <xdr:spPr>
        <a:xfrm>
          <a:off x="747713" y="14720888"/>
          <a:ext cx="966787" cy="621029"/>
        </a:xfrm>
        <a:prstGeom prst="rect">
          <a:avLst/>
        </a:prstGeom>
      </xdr:spPr>
    </xdr:pic>
    <xdr:clientData/>
  </xdr:twoCellAnchor>
  <xdr:twoCellAnchor editAs="oneCell">
    <xdr:from>
      <xdr:col>0</xdr:col>
      <xdr:colOff>57150</xdr:colOff>
      <xdr:row>140</xdr:row>
      <xdr:rowOff>66675</xdr:rowOff>
    </xdr:from>
    <xdr:to>
      <xdr:col>1</xdr:col>
      <xdr:colOff>760571</xdr:colOff>
      <xdr:row>140</xdr:row>
      <xdr:rowOff>798195</xdr:rowOff>
    </xdr:to>
    <xdr:pic>
      <xdr:nvPicPr>
        <xdr:cNvPr id="88" name="Picture 87">
          <a:extLst>
            <a:ext uri="{FF2B5EF4-FFF2-40B4-BE49-F238E27FC236}">
              <a16:creationId xmlns:a16="http://schemas.microsoft.com/office/drawing/2014/main" id="{00000000-0008-0000-0000-00005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41719" r="78187" b="45016"/>
        <a:stretch/>
      </xdr:blipFill>
      <xdr:spPr>
        <a:xfrm>
          <a:off x="652463" y="18961894"/>
          <a:ext cx="895349" cy="712470"/>
        </a:xfrm>
        <a:prstGeom prst="rect">
          <a:avLst/>
        </a:prstGeom>
      </xdr:spPr>
    </xdr:pic>
    <xdr:clientData/>
  </xdr:twoCellAnchor>
  <xdr:twoCellAnchor editAs="oneCell">
    <xdr:from>
      <xdr:col>0</xdr:col>
      <xdr:colOff>57151</xdr:colOff>
      <xdr:row>155</xdr:row>
      <xdr:rowOff>85725</xdr:rowOff>
    </xdr:from>
    <xdr:to>
      <xdr:col>1</xdr:col>
      <xdr:colOff>722472</xdr:colOff>
      <xdr:row>155</xdr:row>
      <xdr:rowOff>762000</xdr:rowOff>
    </xdr:to>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61268" r="78662" b="26338"/>
        <a:stretch/>
      </xdr:blipFill>
      <xdr:spPr>
        <a:xfrm>
          <a:off x="652464" y="21469350"/>
          <a:ext cx="847724" cy="676275"/>
        </a:xfrm>
        <a:prstGeom prst="rect">
          <a:avLst/>
        </a:prstGeom>
      </xdr:spPr>
    </xdr:pic>
    <xdr:clientData/>
  </xdr:twoCellAnchor>
  <xdr:twoCellAnchor editAs="oneCell">
    <xdr:from>
      <xdr:col>0</xdr:col>
      <xdr:colOff>84667</xdr:colOff>
      <xdr:row>169</xdr:row>
      <xdr:rowOff>52916</xdr:rowOff>
    </xdr:from>
    <xdr:to>
      <xdr:col>1</xdr:col>
      <xdr:colOff>723795</xdr:colOff>
      <xdr:row>169</xdr:row>
      <xdr:rowOff>759671</xdr:rowOff>
    </xdr:to>
    <xdr:pic>
      <xdr:nvPicPr>
        <xdr:cNvPr id="90" name="Picture 89">
          <a:extLst>
            <a:ext uri="{FF2B5EF4-FFF2-40B4-BE49-F238E27FC236}">
              <a16:creationId xmlns:a16="http://schemas.microsoft.com/office/drawing/2014/main" id="{00000000-0008-0000-0000-00005A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880" t="79944" r="78924" b="6965"/>
        <a:stretch/>
      </xdr:blipFill>
      <xdr:spPr>
        <a:xfrm>
          <a:off x="698500" y="26161999"/>
          <a:ext cx="841058" cy="702945"/>
        </a:xfrm>
        <a:prstGeom prst="rect">
          <a:avLst/>
        </a:prstGeom>
      </xdr:spPr>
    </xdr:pic>
    <xdr:clientData/>
  </xdr:twoCellAnchor>
  <xdr:twoCellAnchor editAs="oneCell">
    <xdr:from>
      <xdr:col>0</xdr:col>
      <xdr:colOff>102870</xdr:colOff>
      <xdr:row>181</xdr:row>
      <xdr:rowOff>47625</xdr:rowOff>
    </xdr:from>
    <xdr:to>
      <xdr:col>1</xdr:col>
      <xdr:colOff>825976</xdr:colOff>
      <xdr:row>181</xdr:row>
      <xdr:rowOff>755015</xdr:rowOff>
    </xdr:to>
    <xdr:pic>
      <xdr:nvPicPr>
        <xdr:cNvPr id="91" name="Picture 90">
          <a:extLst>
            <a:ext uri="{FF2B5EF4-FFF2-40B4-BE49-F238E27FC236}">
              <a16:creationId xmlns:a16="http://schemas.microsoft.com/office/drawing/2014/main" id="{00000000-0008-0000-0000-00005B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4191" r="36426" b="83068"/>
        <a:stretch/>
      </xdr:blipFill>
      <xdr:spPr>
        <a:xfrm>
          <a:off x="712470" y="39071550"/>
          <a:ext cx="926306" cy="678180"/>
        </a:xfrm>
        <a:prstGeom prst="rect">
          <a:avLst/>
        </a:prstGeom>
      </xdr:spPr>
    </xdr:pic>
    <xdr:clientData/>
  </xdr:twoCellAnchor>
  <xdr:twoCellAnchor editAs="oneCell">
    <xdr:from>
      <xdr:col>0</xdr:col>
      <xdr:colOff>59532</xdr:colOff>
      <xdr:row>230</xdr:row>
      <xdr:rowOff>57150</xdr:rowOff>
    </xdr:from>
    <xdr:to>
      <xdr:col>1</xdr:col>
      <xdr:colOff>825500</xdr:colOff>
      <xdr:row>230</xdr:row>
      <xdr:rowOff>760096</xdr:rowOff>
    </xdr:to>
    <xdr:pic>
      <xdr:nvPicPr>
        <xdr:cNvPr id="93" name="Picture 92">
          <a:extLst>
            <a:ext uri="{FF2B5EF4-FFF2-40B4-BE49-F238E27FC236}">
              <a16:creationId xmlns:a16="http://schemas.microsoft.com/office/drawing/2014/main" id="{00000000-0008-0000-0000-00005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22694" r="35841" b="64740"/>
        <a:stretch/>
      </xdr:blipFill>
      <xdr:spPr>
        <a:xfrm>
          <a:off x="654845" y="32013525"/>
          <a:ext cx="976311" cy="685801"/>
        </a:xfrm>
        <a:prstGeom prst="rect">
          <a:avLst/>
        </a:prstGeom>
      </xdr:spPr>
    </xdr:pic>
    <xdr:clientData/>
  </xdr:twoCellAnchor>
  <xdr:twoCellAnchor editAs="oneCell">
    <xdr:from>
      <xdr:col>0</xdr:col>
      <xdr:colOff>271780</xdr:colOff>
      <xdr:row>260</xdr:row>
      <xdr:rowOff>38100</xdr:rowOff>
    </xdr:from>
    <xdr:to>
      <xdr:col>1</xdr:col>
      <xdr:colOff>793591</xdr:colOff>
      <xdr:row>260</xdr:row>
      <xdr:rowOff>798195</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59348" r="37881" b="27212"/>
        <a:stretch/>
      </xdr:blipFill>
      <xdr:spPr>
        <a:xfrm>
          <a:off x="885613" y="41101433"/>
          <a:ext cx="795496" cy="739140"/>
        </a:xfrm>
        <a:prstGeom prst="rect">
          <a:avLst/>
        </a:prstGeom>
      </xdr:spPr>
    </xdr:pic>
    <xdr:clientData/>
  </xdr:twoCellAnchor>
  <xdr:twoCellAnchor editAs="oneCell">
    <xdr:from>
      <xdr:col>0</xdr:col>
      <xdr:colOff>131923</xdr:colOff>
      <xdr:row>274</xdr:row>
      <xdr:rowOff>26670</xdr:rowOff>
    </xdr:from>
    <xdr:to>
      <xdr:col>1</xdr:col>
      <xdr:colOff>926904</xdr:colOff>
      <xdr:row>275</xdr:row>
      <xdr:rowOff>31749</xdr:rowOff>
    </xdr:to>
    <xdr:pic>
      <xdr:nvPicPr>
        <xdr:cNvPr id="95" name="Picture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76629" r="35975" b="8883"/>
        <a:stretch/>
      </xdr:blipFill>
      <xdr:spPr>
        <a:xfrm>
          <a:off x="745756" y="44825920"/>
          <a:ext cx="989291" cy="788247"/>
        </a:xfrm>
        <a:prstGeom prst="rect">
          <a:avLst/>
        </a:prstGeom>
      </xdr:spPr>
    </xdr:pic>
    <xdr:clientData/>
  </xdr:twoCellAnchor>
  <xdr:twoCellAnchor>
    <xdr:from>
      <xdr:col>1</xdr:col>
      <xdr:colOff>1332405</xdr:colOff>
      <xdr:row>17</xdr:row>
      <xdr:rowOff>0</xdr:rowOff>
    </xdr:from>
    <xdr:to>
      <xdr:col>11</xdr:col>
      <xdr:colOff>437115</xdr:colOff>
      <xdr:row>46</xdr:row>
      <xdr:rowOff>164299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1513380" y="3514725"/>
          <a:ext cx="8810685" cy="4860124"/>
          <a:chOff x="1713405" y="3595688"/>
          <a:chExt cx="8832116" cy="4998236"/>
        </a:xfrm>
      </xdr:grpSpPr>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1713405" y="3595688"/>
          <a:ext cx="8832116" cy="4988719"/>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97" name="Picture 96">
            <a:extLst>
              <a:ext uri="{FF2B5EF4-FFF2-40B4-BE49-F238E27FC236}">
                <a16:creationId xmlns:a16="http://schemas.microsoft.com/office/drawing/2014/main" id="{00000000-0008-0000-0000-000061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4612" t="61267" r="78460" b="24743"/>
          <a:stretch/>
        </xdr:blipFill>
        <xdr:spPr>
          <a:xfrm>
            <a:off x="8115575" y="6580655"/>
            <a:ext cx="499420" cy="480008"/>
          </a:xfrm>
          <a:prstGeom prst="rect">
            <a:avLst/>
          </a:prstGeom>
        </xdr:spPr>
      </xdr:pic>
      <xdr:pic>
        <xdr:nvPicPr>
          <xdr:cNvPr id="98" name="Picture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573" t="22955" r="77074" b="63695"/>
          <a:stretch/>
        </xdr:blipFill>
        <xdr:spPr>
          <a:xfrm>
            <a:off x="8090480" y="4597337"/>
            <a:ext cx="664083" cy="464673"/>
          </a:xfrm>
          <a:prstGeom prst="rect">
            <a:avLst/>
          </a:prstGeom>
        </xdr:spPr>
      </xdr:pic>
      <xdr:pic>
        <xdr:nvPicPr>
          <xdr:cNvPr id="100" name="Picture 99">
            <a:extLst>
              <a:ext uri="{FF2B5EF4-FFF2-40B4-BE49-F238E27FC236}">
                <a16:creationId xmlns:a16="http://schemas.microsoft.com/office/drawing/2014/main" id="{00000000-0008-0000-0000-00006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315" t="39816" r="35505" b="45818"/>
          <a:stretch/>
        </xdr:blipFill>
        <xdr:spPr>
          <a:xfrm>
            <a:off x="3111591" y="6489722"/>
            <a:ext cx="637095" cy="493099"/>
          </a:xfrm>
          <a:prstGeom prst="rect">
            <a:avLst/>
          </a:prstGeom>
        </xdr:spPr>
      </xdr:pic>
      <xdr:pic>
        <xdr:nvPicPr>
          <xdr:cNvPr id="101" name="Picture 100">
            <a:extLst>
              <a:ext uri="{FF2B5EF4-FFF2-40B4-BE49-F238E27FC236}">
                <a16:creationId xmlns:a16="http://schemas.microsoft.com/office/drawing/2014/main" id="{00000000-0008-0000-0000-000065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5488" t="22258" r="35332" b="63376"/>
          <a:stretch/>
        </xdr:blipFill>
        <xdr:spPr>
          <a:xfrm>
            <a:off x="3726169" y="7343283"/>
            <a:ext cx="637192" cy="492950"/>
          </a:xfrm>
          <a:prstGeom prst="rect">
            <a:avLst/>
          </a:prstGeom>
        </xdr:spPr>
      </xdr:pic>
      <xdr:pic>
        <xdr:nvPicPr>
          <xdr:cNvPr id="102" name="Picture 101">
            <a:extLst>
              <a:ext uri="{FF2B5EF4-FFF2-40B4-BE49-F238E27FC236}">
                <a16:creationId xmlns:a16="http://schemas.microsoft.com/office/drawing/2014/main" id="{00000000-0008-0000-0000-000066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3929" t="59060" r="36545" b="25935"/>
          <a:stretch/>
        </xdr:blipFill>
        <xdr:spPr>
          <a:xfrm>
            <a:off x="3246357" y="5418653"/>
            <a:ext cx="683935" cy="514856"/>
          </a:xfrm>
          <a:prstGeom prst="rect">
            <a:avLst/>
          </a:prstGeom>
        </xdr:spPr>
      </xdr:pic>
      <xdr:pic>
        <xdr:nvPicPr>
          <xdr:cNvPr id="103" name="Picture 102">
            <a:extLst>
              <a:ext uri="{FF2B5EF4-FFF2-40B4-BE49-F238E27FC236}">
                <a16:creationId xmlns:a16="http://schemas.microsoft.com/office/drawing/2014/main" id="{00000000-0008-0000-0000-000067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3746" t="40546" r="77767" b="44448"/>
          <a:stretch/>
        </xdr:blipFill>
        <xdr:spPr>
          <a:xfrm>
            <a:off x="8620320" y="5484379"/>
            <a:ext cx="610129" cy="521430"/>
          </a:xfrm>
          <a:prstGeom prst="rect">
            <a:avLst/>
          </a:prstGeom>
        </xdr:spPr>
      </xdr:pic>
      <xdr:pic>
        <xdr:nvPicPr>
          <xdr:cNvPr id="104" name="Picture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969" t="4439" r="35678" b="82211"/>
          <a:stretch/>
        </xdr:blipFill>
        <xdr:spPr>
          <a:xfrm>
            <a:off x="5856868" y="8129251"/>
            <a:ext cx="656872" cy="464673"/>
          </a:xfrm>
          <a:prstGeom prst="rect">
            <a:avLst/>
          </a:prstGeom>
        </xdr:spPr>
      </xdr:pic>
      <xdr:pic>
        <xdr:nvPicPr>
          <xdr:cNvPr id="79" name="Picture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125" t="4470" r="78349" b="80525"/>
          <a:stretch/>
        </xdr:blipFill>
        <xdr:spPr>
          <a:xfrm>
            <a:off x="5621610" y="3805466"/>
            <a:ext cx="683935" cy="515684"/>
          </a:xfrm>
          <a:prstGeom prst="rect">
            <a:avLst/>
          </a:prstGeom>
        </xdr:spPr>
      </xdr:pic>
      <xdr:pic>
        <xdr:nvPicPr>
          <xdr:cNvPr id="83" name="Picture 82">
            <a:extLst>
              <a:ext uri="{FF2B5EF4-FFF2-40B4-BE49-F238E27FC236}">
                <a16:creationId xmlns:a16="http://schemas.microsoft.com/office/drawing/2014/main" id="{00000000-0008-0000-0000-000053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12982" t="79495" r="77492" b="5500"/>
          <a:stretch/>
        </xdr:blipFill>
        <xdr:spPr>
          <a:xfrm>
            <a:off x="7558238" y="7409764"/>
            <a:ext cx="683935" cy="514856"/>
          </a:xfrm>
          <a:prstGeom prst="rect">
            <a:avLst/>
          </a:prstGeom>
        </xdr:spPr>
      </xdr:pic>
      <xdr:pic>
        <xdr:nvPicPr>
          <xdr:cNvPr id="84" name="Picture 83">
            <a:extLst>
              <a:ext uri="{FF2B5EF4-FFF2-40B4-BE49-F238E27FC236}">
                <a16:creationId xmlns:a16="http://schemas.microsoft.com/office/drawing/2014/main" id="{00000000-0008-0000-0000-000054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l="55472" t="76941" r="35002" b="8054"/>
          <a:stretch/>
        </xdr:blipFill>
        <xdr:spPr>
          <a:xfrm>
            <a:off x="3779456" y="4601721"/>
            <a:ext cx="683935" cy="514856"/>
          </a:xfrm>
          <a:prstGeom prst="rect">
            <a:avLst/>
          </a:prstGeom>
        </xdr:spPr>
      </xdr:pic>
    </xdr:grpSp>
    <xdr:clientData/>
  </xdr:twoCellAnchor>
  <xdr:twoCellAnchor editAs="oneCell">
    <xdr:from>
      <xdr:col>0</xdr:col>
      <xdr:colOff>127582</xdr:colOff>
      <xdr:row>244</xdr:row>
      <xdr:rowOff>12489</xdr:rowOff>
    </xdr:from>
    <xdr:to>
      <xdr:col>1</xdr:col>
      <xdr:colOff>822113</xdr:colOff>
      <xdr:row>244</xdr:row>
      <xdr:rowOff>798893</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3">
          <a:clrChange>
            <a:clrFrom>
              <a:srgbClr val="FB4131"/>
            </a:clrFrom>
            <a:clrTo>
              <a:srgbClr val="FB4131">
                <a:alpha val="0"/>
              </a:srgbClr>
            </a:clrTo>
          </a:clrChange>
          <a:grayscl/>
          <a:extLst>
            <a:ext uri="{28A0092B-C50C-407E-A947-70E740481C1C}">
              <a14:useLocalDpi xmlns:a14="http://schemas.microsoft.com/office/drawing/2010/main" val="0"/>
            </a:ext>
          </a:extLst>
        </a:blip>
        <a:srcRect l="54451" t="39391" r="35841" b="44902"/>
        <a:stretch/>
      </xdr:blipFill>
      <xdr:spPr>
        <a:xfrm>
          <a:off x="737182" y="48189939"/>
          <a:ext cx="899001" cy="767354"/>
        </a:xfrm>
        <a:prstGeom prst="rect">
          <a:avLst/>
        </a:prstGeom>
      </xdr:spPr>
    </xdr:pic>
    <xdr:clientData/>
  </xdr:twoCellAnchor>
  <xdr:twoCellAnchor editAs="oneCell">
    <xdr:from>
      <xdr:col>0</xdr:col>
      <xdr:colOff>107738</xdr:colOff>
      <xdr:row>3</xdr:row>
      <xdr:rowOff>49107</xdr:rowOff>
    </xdr:from>
    <xdr:to>
      <xdr:col>1</xdr:col>
      <xdr:colOff>844551</xdr:colOff>
      <xdr:row>6</xdr:row>
      <xdr:rowOff>73026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5"/>
        <a:srcRect l="20655" r="21342"/>
        <a:stretch/>
      </xdr:blipFill>
      <xdr:spPr>
        <a:xfrm>
          <a:off x="107738" y="557107"/>
          <a:ext cx="951443" cy="91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1082040</xdr:colOff>
      <xdr:row>0</xdr:row>
      <xdr:rowOff>167672</xdr:rowOff>
    </xdr:from>
    <xdr:to>
      <xdr:col>2</xdr:col>
      <xdr:colOff>8707432</xdr:colOff>
      <xdr:row>24</xdr:row>
      <xdr:rowOff>114008</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0.73429</cdr:x>
      <cdr:y>0.58485</cdr:y>
    </cdr:from>
    <cdr:to>
      <cdr:x>0.78746</cdr:x>
      <cdr:y>0.68615</cdr:y>
    </cdr:to>
    <cdr:pic>
      <cdr:nvPicPr>
        <cdr:cNvPr id="2" name="Picture 1">
          <a:extLst xmlns:a="http://schemas.openxmlformats.org/drawingml/2006/main">
            <a:ext uri="{FF2B5EF4-FFF2-40B4-BE49-F238E27FC236}">
              <a16:creationId xmlns:a16="http://schemas.microsoft.com/office/drawing/2014/main" id="{00000000-0008-0000-0000-000061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4612" t="61267" r="78460" b="24743"/>
        <a:stretch xmlns:a="http://schemas.openxmlformats.org/drawingml/2006/main"/>
      </cdr:blipFill>
      <cdr:spPr>
        <a:xfrm xmlns:a="http://schemas.openxmlformats.org/drawingml/2006/main">
          <a:off x="5599270" y="2508869"/>
          <a:ext cx="405408" cy="434523"/>
        </a:xfrm>
        <a:prstGeom xmlns:a="http://schemas.openxmlformats.org/drawingml/2006/main" prst="rect">
          <a:avLst/>
        </a:prstGeom>
      </cdr:spPr>
    </cdr:pic>
  </cdr:relSizeAnchor>
  <cdr:relSizeAnchor xmlns:cdr="http://schemas.openxmlformats.org/drawingml/2006/chartDrawing">
    <cdr:from>
      <cdr:x>0.72954</cdr:x>
      <cdr:y>0.1783</cdr:y>
    </cdr:from>
    <cdr:to>
      <cdr:x>0.80024</cdr:x>
      <cdr:y>0.27635</cdr:y>
    </cdr:to>
    <cdr:pic>
      <cdr:nvPicPr>
        <cdr:cNvPr id="3" name="Picture 2">
          <a:extLst xmlns:a="http://schemas.openxmlformats.org/drawingml/2006/main">
            <a:ext uri="{FF2B5EF4-FFF2-40B4-BE49-F238E27FC236}">
              <a16:creationId xmlns:a16="http://schemas.microsoft.com/office/drawing/2014/main" id="{00000000-0008-0000-0000-000062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573" t="22955" r="77074" b="63695"/>
        <a:stretch xmlns:a="http://schemas.openxmlformats.org/drawingml/2006/main"/>
      </cdr:blipFill>
      <cdr:spPr>
        <a:xfrm xmlns:a="http://schemas.openxmlformats.org/drawingml/2006/main">
          <a:off x="5563051" y="764843"/>
          <a:ext cx="539074" cy="420641"/>
        </a:xfrm>
        <a:prstGeom xmlns:a="http://schemas.openxmlformats.org/drawingml/2006/main" prst="rect">
          <a:avLst/>
        </a:prstGeom>
      </cdr:spPr>
    </cdr:pic>
  </cdr:relSizeAnchor>
  <cdr:relSizeAnchor xmlns:cdr="http://schemas.openxmlformats.org/drawingml/2006/chartDrawing">
    <cdr:from>
      <cdr:x>0.14406</cdr:x>
      <cdr:y>0.57338</cdr:y>
    </cdr:from>
    <cdr:to>
      <cdr:x>0.21189</cdr:x>
      <cdr:y>0.67743</cdr:y>
    </cdr:to>
    <cdr:pic>
      <cdr:nvPicPr>
        <cdr:cNvPr id="4" name="Picture 3">
          <a:extLst xmlns:a="http://schemas.openxmlformats.org/drawingml/2006/main">
            <a:ext uri="{FF2B5EF4-FFF2-40B4-BE49-F238E27FC236}">
              <a16:creationId xmlns:a16="http://schemas.microsoft.com/office/drawing/2014/main" id="{00000000-0008-0000-0000-00006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315" t="39816" r="35505" b="45818"/>
        <a:stretch xmlns:a="http://schemas.openxmlformats.org/drawingml/2006/main"/>
      </cdr:blipFill>
      <cdr:spPr>
        <a:xfrm xmlns:a="http://schemas.openxmlformats.org/drawingml/2006/main">
          <a:off x="1098550" y="2459641"/>
          <a:ext cx="517166" cy="446374"/>
        </a:xfrm>
        <a:prstGeom xmlns:a="http://schemas.openxmlformats.org/drawingml/2006/main" prst="rect">
          <a:avLst/>
        </a:prstGeom>
      </cdr:spPr>
    </cdr:pic>
  </cdr:relSizeAnchor>
  <cdr:relSizeAnchor xmlns:cdr="http://schemas.openxmlformats.org/drawingml/2006/chartDrawing">
    <cdr:from>
      <cdr:x>0.22097</cdr:x>
      <cdr:y>0.75555</cdr:y>
    </cdr:from>
    <cdr:to>
      <cdr:x>0.2888</cdr:x>
      <cdr:y>0.85957</cdr:y>
    </cdr:to>
    <cdr:pic>
      <cdr:nvPicPr>
        <cdr:cNvPr id="5" name="Picture 4">
          <a:extLst xmlns:a="http://schemas.openxmlformats.org/drawingml/2006/main">
            <a:ext uri="{FF2B5EF4-FFF2-40B4-BE49-F238E27FC236}">
              <a16:creationId xmlns:a16="http://schemas.microsoft.com/office/drawing/2014/main" id="{00000000-0008-0000-0000-000065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5488" t="22258" r="35332" b="63376"/>
        <a:stretch xmlns:a="http://schemas.openxmlformats.org/drawingml/2006/main"/>
      </cdr:blipFill>
      <cdr:spPr>
        <a:xfrm xmlns:a="http://schemas.openxmlformats.org/drawingml/2006/main">
          <a:off x="1684982" y="3241091"/>
          <a:ext cx="517244" cy="446238"/>
        </a:xfrm>
        <a:prstGeom xmlns:a="http://schemas.openxmlformats.org/drawingml/2006/main" prst="rect">
          <a:avLst/>
        </a:prstGeom>
      </cdr:spPr>
    </cdr:pic>
  </cdr:relSizeAnchor>
  <cdr:relSizeAnchor xmlns:cdr="http://schemas.openxmlformats.org/drawingml/2006/chartDrawing">
    <cdr:from>
      <cdr:x>0.16958</cdr:x>
      <cdr:y>0.35478</cdr:y>
    </cdr:from>
    <cdr:to>
      <cdr:x>0.24239</cdr:x>
      <cdr:y>0.46342</cdr:y>
    </cdr:to>
    <cdr:pic>
      <cdr:nvPicPr>
        <cdr:cNvPr id="6" name="Picture 5">
          <a:extLst xmlns:a="http://schemas.openxmlformats.org/drawingml/2006/main">
            <a:ext uri="{FF2B5EF4-FFF2-40B4-BE49-F238E27FC236}">
              <a16:creationId xmlns:a16="http://schemas.microsoft.com/office/drawing/2014/main" id="{00000000-0008-0000-0000-000066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3929" t="59060" r="36545" b="25935"/>
        <a:stretch xmlns:a="http://schemas.openxmlformats.org/drawingml/2006/main"/>
      </cdr:blipFill>
      <cdr:spPr>
        <a:xfrm xmlns:a="http://schemas.openxmlformats.org/drawingml/2006/main">
          <a:off x="1293112" y="1521901"/>
          <a:ext cx="555189" cy="466069"/>
        </a:xfrm>
        <a:prstGeom xmlns:a="http://schemas.openxmlformats.org/drawingml/2006/main" prst="rect">
          <a:avLst/>
        </a:prstGeom>
      </cdr:spPr>
    </cdr:pic>
  </cdr:relSizeAnchor>
  <cdr:relSizeAnchor xmlns:cdr="http://schemas.openxmlformats.org/drawingml/2006/chartDrawing">
    <cdr:from>
      <cdr:x>0.79047</cdr:x>
      <cdr:y>0.36643</cdr:y>
    </cdr:from>
    <cdr:to>
      <cdr:x>0.85542</cdr:x>
      <cdr:y>0.47646</cdr:y>
    </cdr:to>
    <cdr:pic>
      <cdr:nvPicPr>
        <cdr:cNvPr id="7" name="Picture 6">
          <a:extLst xmlns:a="http://schemas.openxmlformats.org/drawingml/2006/main">
            <a:ext uri="{FF2B5EF4-FFF2-40B4-BE49-F238E27FC236}">
              <a16:creationId xmlns:a16="http://schemas.microsoft.com/office/drawing/2014/main" id="{00000000-0008-0000-0000-000067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3746" t="40546" r="77767" b="44448"/>
        <a:stretch xmlns:a="http://schemas.openxmlformats.org/drawingml/2006/main"/>
      </cdr:blipFill>
      <cdr:spPr>
        <a:xfrm xmlns:a="http://schemas.openxmlformats.org/drawingml/2006/main">
          <a:off x="6027630" y="1571873"/>
          <a:ext cx="495277" cy="472020"/>
        </a:xfrm>
        <a:prstGeom xmlns:a="http://schemas.openxmlformats.org/drawingml/2006/main" prst="rect">
          <a:avLst/>
        </a:prstGeom>
      </cdr:spPr>
    </cdr:pic>
  </cdr:relSizeAnchor>
  <cdr:relSizeAnchor xmlns:cdr="http://schemas.openxmlformats.org/drawingml/2006/chartDrawing">
    <cdr:from>
      <cdr:x>0.46067</cdr:x>
      <cdr:y>0.90194</cdr:y>
    </cdr:from>
    <cdr:to>
      <cdr:x>0.5306</cdr:x>
      <cdr:y>1</cdr:y>
    </cdr:to>
    <cdr:pic>
      <cdr:nvPicPr>
        <cdr:cNvPr id="8" name="Picture 7">
          <a:extLst xmlns:a="http://schemas.openxmlformats.org/drawingml/2006/main">
            <a:ext uri="{FF2B5EF4-FFF2-40B4-BE49-F238E27FC236}">
              <a16:creationId xmlns:a16="http://schemas.microsoft.com/office/drawing/2014/main" id="{00000000-0008-0000-0000-000068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54969" t="4439" r="35678" b="82211"/>
        <a:stretch xmlns:a="http://schemas.openxmlformats.org/drawingml/2006/main"/>
      </cdr:blipFill>
      <cdr:spPr>
        <a:xfrm xmlns:a="http://schemas.openxmlformats.org/drawingml/2006/main">
          <a:off x="3512780" y="3869095"/>
          <a:ext cx="533220" cy="420641"/>
        </a:xfrm>
        <a:prstGeom xmlns:a="http://schemas.openxmlformats.org/drawingml/2006/main" prst="rect">
          <a:avLst/>
        </a:prstGeom>
      </cdr:spPr>
    </cdr:pic>
  </cdr:relSizeAnchor>
  <cdr:relSizeAnchor xmlns:cdr="http://schemas.openxmlformats.org/drawingml/2006/chartDrawing">
    <cdr:from>
      <cdr:x>0.45076</cdr:x>
      <cdr:y>0.04293</cdr:y>
    </cdr:from>
    <cdr:to>
      <cdr:x>0.52357</cdr:x>
      <cdr:y>0.15175</cdr:y>
    </cdr:to>
    <cdr:pic>
      <cdr:nvPicPr>
        <cdr:cNvPr id="9" name="Picture 8">
          <a:extLst xmlns:a="http://schemas.openxmlformats.org/drawingml/2006/main">
            <a:ext uri="{FF2B5EF4-FFF2-40B4-BE49-F238E27FC236}">
              <a16:creationId xmlns:a16="http://schemas.microsoft.com/office/drawing/2014/main" id="{00000000-0008-0000-0000-00004F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125" t="4470" r="78349" b="80525"/>
        <a:stretch xmlns:a="http://schemas.openxmlformats.org/drawingml/2006/main"/>
      </cdr:blipFill>
      <cdr:spPr>
        <a:xfrm xmlns:a="http://schemas.openxmlformats.org/drawingml/2006/main">
          <a:off x="3437228" y="184150"/>
          <a:ext cx="555189" cy="466819"/>
        </a:xfrm>
        <a:prstGeom xmlns:a="http://schemas.openxmlformats.org/drawingml/2006/main" prst="rect">
          <a:avLst/>
        </a:prstGeom>
      </cdr:spPr>
    </cdr:pic>
  </cdr:relSizeAnchor>
  <cdr:relSizeAnchor xmlns:cdr="http://schemas.openxmlformats.org/drawingml/2006/chartDrawing">
    <cdr:from>
      <cdr:x>0.68113</cdr:x>
      <cdr:y>0.75392</cdr:y>
    </cdr:from>
    <cdr:to>
      <cdr:x>0.75394</cdr:x>
      <cdr:y>0.86256</cdr:y>
    </cdr:to>
    <cdr:pic>
      <cdr:nvPicPr>
        <cdr:cNvPr id="10" name="Picture 9">
          <a:extLst xmlns:a="http://schemas.openxmlformats.org/drawingml/2006/main">
            <a:ext uri="{FF2B5EF4-FFF2-40B4-BE49-F238E27FC236}">
              <a16:creationId xmlns:a16="http://schemas.microsoft.com/office/drawing/2014/main" id="{00000000-0008-0000-0000-000053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grayscl/>
          <a:extLst>
            <a:ext uri="{28A0092B-C50C-407E-A947-70E740481C1C}">
              <a14:useLocalDpi xmlns:a14="http://schemas.microsoft.com/office/drawing/2010/main" val="0"/>
            </a:ext>
          </a:extLst>
        </a:blip>
        <a:srcRect xmlns:a="http://schemas.openxmlformats.org/drawingml/2006/main" l="12982" t="79495" r="77492" b="5500"/>
        <a:stretch xmlns:a="http://schemas.openxmlformats.org/drawingml/2006/main"/>
      </cdr:blipFill>
      <cdr:spPr>
        <a:xfrm xmlns:a="http://schemas.openxmlformats.org/drawingml/2006/main">
          <a:off x="5193913" y="3234099"/>
          <a:ext cx="555189" cy="466069"/>
        </a:xfrm>
        <a:prstGeom xmlns:a="http://schemas.openxmlformats.org/drawingml/2006/main" prst="rect">
          <a:avLst/>
        </a:prstGeom>
      </cdr:spPr>
    </cdr:pic>
  </cdr:relSizeAnchor>
  <cdr:relSizeAnchor xmlns:cdr="http://schemas.openxmlformats.org/drawingml/2006/chartDrawing">
    <cdr:from>
      <cdr:x>0.23416</cdr:x>
      <cdr:y>0.19793</cdr:y>
    </cdr:from>
    <cdr:to>
      <cdr:x>0.30696</cdr:x>
      <cdr:y>0.30657</cdr:y>
    </cdr:to>
    <cdr:pic>
      <cdr:nvPicPr>
        <cdr:cNvPr id="11" name="Picture 10">
          <a:extLst xmlns:a="http://schemas.openxmlformats.org/drawingml/2006/main">
            <a:ext uri="{FF2B5EF4-FFF2-40B4-BE49-F238E27FC236}">
              <a16:creationId xmlns:a16="http://schemas.microsoft.com/office/drawing/2014/main" id="{00000000-0008-0000-0000-000054000000}"/>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clrChange>
            <a:clrFrom>
              <a:srgbClr val="FB4131"/>
            </a:clrFrom>
            <a:clrTo>
              <a:srgbClr val="FB4131">
                <a:alpha val="0"/>
              </a:srgbClr>
            </a:clrTo>
          </a:clrChange>
          <a:alphaModFix/>
          <a:grayscl/>
          <a:extLst>
            <a:ext uri="{28A0092B-C50C-407E-A947-70E740481C1C}">
              <a14:useLocalDpi xmlns:a14="http://schemas.microsoft.com/office/drawing/2010/main" val="0"/>
            </a:ext>
          </a:extLst>
        </a:blip>
        <a:srcRect xmlns:a="http://schemas.openxmlformats.org/drawingml/2006/main" l="55472" t="76941" r="35002" b="8054"/>
        <a:stretch xmlns:a="http://schemas.openxmlformats.org/drawingml/2006/main"/>
      </cdr:blipFill>
      <cdr:spPr>
        <a:xfrm xmlns:a="http://schemas.openxmlformats.org/drawingml/2006/main">
          <a:off x="1785528" y="849056"/>
          <a:ext cx="555189" cy="466069"/>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Extreme Shadow">
      <a:fillStyleLst>
        <a:solidFill>
          <a:schemeClr val="phClr"/>
        </a:solidFill>
        <a:gradFill rotWithShape="1">
          <a:gsLst>
            <a:gs pos="0">
              <a:schemeClr val="phClr">
                <a:tint val="90000"/>
              </a:schemeClr>
            </a:gs>
            <a:gs pos="48000">
              <a:schemeClr val="phClr">
                <a:tint val="54000"/>
                <a:satMod val="140000"/>
              </a:schemeClr>
            </a:gs>
            <a:gs pos="100000">
              <a:schemeClr val="phClr">
                <a:tint val="24000"/>
                <a:satMod val="260000"/>
              </a:schemeClr>
            </a:gs>
          </a:gsLst>
          <a:lin ang="16200000" scaled="1"/>
        </a:gradFill>
        <a:gradFill rotWithShape="1">
          <a:gsLst>
            <a:gs pos="0">
              <a:schemeClr val="phClr"/>
            </a:gs>
            <a:gs pos="100000">
              <a:schemeClr val="phClr">
                <a:shade val="48000"/>
                <a:satMod val="180000"/>
                <a:lumMod val="94000"/>
              </a:schemeClr>
            </a:gs>
            <a:gs pos="100000">
              <a:schemeClr val="phClr">
                <a:shade val="48000"/>
                <a:satMod val="180000"/>
                <a:lumMod val="94000"/>
              </a:schemeClr>
            </a:gs>
          </a:gsLst>
          <a:lin ang="4140000" scaled="1"/>
        </a:gradFill>
      </a:fillStyleLst>
      <a:lnStyleLst>
        <a:ln w="12700" cap="flat" cmpd="sng" algn="ctr">
          <a:solidFill>
            <a:schemeClr val="phClr"/>
          </a:solidFill>
          <a:prstDash val="solid"/>
        </a:ln>
        <a:ln w="19050" cap="flat" cmpd="sng" algn="ctr">
          <a:solidFill>
            <a:schemeClr val="phClr"/>
          </a:solidFill>
          <a:prstDash val="solid"/>
        </a:ln>
        <a:ln w="28575" cap="flat" cmpd="sng" algn="ctr">
          <a:solidFill>
            <a:schemeClr val="phClr"/>
          </a:solidFill>
          <a:prstDash val="solid"/>
        </a:ln>
      </a:lnStyleLst>
      <a:effectStyleLst>
        <a:effectStyle>
          <a:effectLst>
            <a:outerShdw blurRad="63500" dist="12700" dir="5400000" sx="102000" sy="102000" rotWithShape="0">
              <a:srgbClr val="000000">
                <a:alpha val="32000"/>
              </a:srgbClr>
            </a:outerShdw>
          </a:effectLst>
        </a:effectStyle>
        <a:effectStyle>
          <a:effectLst>
            <a:outerShdw blurRad="76200" dist="38100" dir="5400000" rotWithShape="0">
              <a:srgbClr val="000000">
                <a:alpha val="60000"/>
              </a:srgbClr>
            </a:outerShdw>
          </a:effectLst>
          <a:scene3d>
            <a:camera prst="orthographicFront">
              <a:rot lat="0" lon="0" rev="0"/>
            </a:camera>
            <a:lightRig rig="threePt" dir="tl">
              <a:rot lat="0" lon="0" rev="19800000"/>
            </a:lightRig>
          </a:scene3d>
          <a:sp3d prstMaterial="plastic">
            <a:bevelT w="25400" h="19050"/>
          </a:sp3d>
        </a:effectStyle>
        <a:effectStyle>
          <a:effectLst>
            <a:outerShdw blurRad="114300" dist="114300" dir="5400000" rotWithShape="0">
              <a:srgbClr val="000000">
                <a:alpha val="70000"/>
              </a:srgbClr>
            </a:outerShdw>
          </a:effectLst>
          <a:scene3d>
            <a:camera prst="orthographicFront">
              <a:rot lat="0" lon="0" rev="0"/>
            </a:camera>
            <a:lightRig rig="threePt" dir="t">
              <a:rot lat="0" lon="0" rev="19800000"/>
            </a:lightRig>
          </a:scene3d>
          <a:sp3d prstMaterial="plastic">
            <a:bevelT w="38100" h="3175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aia.org/showcases/6082617-design-for-well-being" TargetMode="External"/><Relationship Id="rId18" Type="http://schemas.openxmlformats.org/officeDocument/2006/relationships/hyperlink" Target="https://abcbirds.org/wp-content/uploads/2019/04/Bird-Friendly-Building-Design_Updated-April-2019.pdf" TargetMode="External"/><Relationship Id="rId26" Type="http://schemas.openxmlformats.org/officeDocument/2006/relationships/hyperlink" Target="https://www.zerotool.org/zerotool/" TargetMode="External"/><Relationship Id="rId39" Type="http://schemas.openxmlformats.org/officeDocument/2006/relationships/vmlDrawing" Target="../drawings/vmlDrawing1.vml"/><Relationship Id="rId21" Type="http://schemas.openxmlformats.org/officeDocument/2006/relationships/hyperlink" Target="https://lbt.i2sl.org/" TargetMode="External"/><Relationship Id="rId34" Type="http://schemas.openxmlformats.org/officeDocument/2006/relationships/hyperlink" Target="https://www.caretool.org/" TargetMode="External"/><Relationship Id="rId7" Type="http://schemas.openxmlformats.org/officeDocument/2006/relationships/hyperlink" Target="https://www.aia.org/showcases/6082344-design-for-integration" TargetMode="External"/><Relationship Id="rId12" Type="http://schemas.openxmlformats.org/officeDocument/2006/relationships/hyperlink" Target="https://www.aia.org/showcases/6076709-design-for-energy" TargetMode="External"/><Relationship Id="rId17" Type="http://schemas.openxmlformats.org/officeDocument/2006/relationships/hyperlink" Target="https://www.architecture2030.org/2030_challenges/2030-challenge/" TargetMode="External"/><Relationship Id="rId25" Type="http://schemas.openxmlformats.org/officeDocument/2006/relationships/hyperlink" Target="http://www.buildcarbonneutral.org/" TargetMode="External"/><Relationship Id="rId33" Type="http://schemas.openxmlformats.org/officeDocument/2006/relationships/hyperlink" Target="https://www.aia.org/resource-center/design-adaptability-deconstruction-reuse" TargetMode="External"/><Relationship Id="rId38" Type="http://schemas.openxmlformats.org/officeDocument/2006/relationships/drawing" Target="../drawings/drawing1.xml"/><Relationship Id="rId2" Type="http://schemas.openxmlformats.org/officeDocument/2006/relationships/hyperlink" Target="https://zerotool.org/" TargetMode="External"/><Relationship Id="rId16" Type="http://schemas.openxmlformats.org/officeDocument/2006/relationships/hyperlink" Target="http://carbonleadershipforum.org/projects/embodied-carbon-benchmark-study-data-visualization/" TargetMode="External"/><Relationship Id="rId20" Type="http://schemas.openxmlformats.org/officeDocument/2006/relationships/hyperlink" Target="https://abcbirds.org/glass-collisions/existing-ordinances/" TargetMode="External"/><Relationship Id="rId29" Type="http://schemas.openxmlformats.org/officeDocument/2006/relationships/hyperlink" Target="https://docs.google.com/document/d/1kHR94cBvddzrfMnuJk1LN3t4OnSSZDN3QocJMFWyUZA/edit?usp=sharing" TargetMode="External"/><Relationship Id="rId1" Type="http://schemas.openxmlformats.org/officeDocument/2006/relationships/hyperlink" Target="https://2030ddx.aia.org/users/sign_in" TargetMode="External"/><Relationship Id="rId6" Type="http://schemas.openxmlformats.org/officeDocument/2006/relationships/hyperlink" Target="https://caenergy.maps.arcgis.com/apps/webappviewer/index.html?id=5cfefd9798214bea91cc4fddaa7e643f" TargetMode="External"/><Relationship Id="rId11" Type="http://schemas.openxmlformats.org/officeDocument/2006/relationships/hyperlink" Target="https://www.aia.org/showcases/6082495-design-for-economy" TargetMode="External"/><Relationship Id="rId24" Type="http://schemas.openxmlformats.org/officeDocument/2006/relationships/hyperlink" Target="https://www.iesve.com/discoveries/article/3813/ten-key-daylight-and-electric-metrics" TargetMode="External"/><Relationship Id="rId32" Type="http://schemas.openxmlformats.org/officeDocument/2006/relationships/hyperlink" Target="https://www.cscale.io/" TargetMode="External"/><Relationship Id="rId37" Type="http://schemas.openxmlformats.org/officeDocument/2006/relationships/printerSettings" Target="../printerSettings/printerSettings1.bin"/><Relationship Id="rId40" Type="http://schemas.openxmlformats.org/officeDocument/2006/relationships/ctrlProp" Target="../ctrlProps/ctrlProp1.xml"/><Relationship Id="rId5" Type="http://schemas.openxmlformats.org/officeDocument/2006/relationships/hyperlink" Target="https://www.ashrae.org/file%20library/technical%20resources/standards%20and%20guidelines/standards%20addenda/169_2020_a_20211029.pdf" TargetMode="External"/><Relationship Id="rId15" Type="http://schemas.openxmlformats.org/officeDocument/2006/relationships/hyperlink" Target="https://www.aia.org/showcases/6082671-design-for-discovery" TargetMode="External"/><Relationship Id="rId23" Type="http://schemas.openxmlformats.org/officeDocument/2006/relationships/hyperlink" Target="https://www.aia.org/showcases/6082636-design-for-resources" TargetMode="External"/><Relationship Id="rId28" Type="http://schemas.openxmlformats.org/officeDocument/2006/relationships/hyperlink" Target="https://www.brookings.edu/articles/what-is-the-social-cost-of-carbon/" TargetMode="External"/><Relationship Id="rId36" Type="http://schemas.openxmlformats.org/officeDocument/2006/relationships/hyperlink" Target="https://aiacalifornia.org/design-awards-2/understanding-your-buildings-energy-and-carbon/" TargetMode="External"/><Relationship Id="rId10" Type="http://schemas.openxmlformats.org/officeDocument/2006/relationships/hyperlink" Target="https://www.aia.org/showcases/6082471-design-for-water" TargetMode="External"/><Relationship Id="rId19" Type="http://schemas.openxmlformats.org/officeDocument/2006/relationships/hyperlink" Target="https://www.darksky.org/" TargetMode="External"/><Relationship Id="rId31" Type="http://schemas.openxmlformats.org/officeDocument/2006/relationships/hyperlink" Target="https://aiacalifornia.org/what-you-can-do-right-now/embodied-carbon-definitions-and-facts/" TargetMode="External"/><Relationship Id="rId4" Type="http://schemas.openxmlformats.org/officeDocument/2006/relationships/hyperlink" Target="https://www.aia.org/resources/6077668-the-cote-top-ten-toolkit" TargetMode="External"/><Relationship Id="rId9" Type="http://schemas.openxmlformats.org/officeDocument/2006/relationships/hyperlink" Target="https://www.aia.org/showcases/6082454-design-for-ecosystems" TargetMode="External"/><Relationship Id="rId14" Type="http://schemas.openxmlformats.org/officeDocument/2006/relationships/hyperlink" Target="https://www.aia.org/showcases/6082660-design-for-change--" TargetMode="External"/><Relationship Id="rId22" Type="http://schemas.openxmlformats.org/officeDocument/2006/relationships/hyperlink" Target="https://network.aia.org/blogs/melissa-morancy/2019/12/17/international-climate-zone-conversion-chart" TargetMode="External"/><Relationship Id="rId27" Type="http://schemas.openxmlformats.org/officeDocument/2006/relationships/hyperlink" Target="https://19january2017snapshot.epa.gov/sites/production/files/2016-12/documents/social_cost_of_carbon_fact_sheet.pdf" TargetMode="External"/><Relationship Id="rId30" Type="http://schemas.openxmlformats.org/officeDocument/2006/relationships/hyperlink" Target="https://www.epa.gov/watersense/watersense-products" TargetMode="External"/><Relationship Id="rId35" Type="http://schemas.openxmlformats.org/officeDocument/2006/relationships/hyperlink" Target="https://aiacalifornia.org/design-awards-2/understanding-your-buildings-energy-and-carbon/" TargetMode="External"/><Relationship Id="rId8" Type="http://schemas.openxmlformats.org/officeDocument/2006/relationships/hyperlink" Target="https://www.aia.org/showcases/6082410-design-for-equitable-communities" TargetMode="External"/><Relationship Id="rId3" Type="http://schemas.openxmlformats.org/officeDocument/2006/relationships/hyperlink" Target="https://www.eia.gov/consumption/commercial/building-type-definitions.ph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usgbc.org/RESOURCES/INDOOR-WATER-USE-CALCULA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346"/>
  <sheetViews>
    <sheetView tabSelected="1" topLeftCell="A283" zoomScaleNormal="100" zoomScaleSheetLayoutView="90" workbookViewId="0">
      <selection activeCell="B259" sqref="B259:J259"/>
    </sheetView>
  </sheetViews>
  <sheetFormatPr defaultColWidth="8.85546875" defaultRowHeight="12.75" outlineLevelRow="1" x14ac:dyDescent="0.25"/>
  <cols>
    <col min="1" max="1" width="2.7109375" style="143" customWidth="1"/>
    <col min="2" max="2" width="22.7109375" style="143" customWidth="1"/>
    <col min="3" max="3" width="3.7109375" style="143" customWidth="1"/>
    <col min="4" max="4" width="12.7109375" style="143" customWidth="1"/>
    <col min="5" max="5" width="5.5703125" style="143" bestFit="1" customWidth="1"/>
    <col min="6" max="8" width="16.7109375" style="143" customWidth="1"/>
    <col min="9" max="9" width="16.7109375" style="291" customWidth="1"/>
    <col min="10" max="10" width="16.7109375" style="292" customWidth="1"/>
    <col min="11" max="11" width="17.28515625" style="159" bestFit="1" customWidth="1"/>
    <col min="12" max="12" width="56" style="142" customWidth="1"/>
    <col min="13" max="13" width="45.7109375" style="143" customWidth="1"/>
    <col min="14" max="14" width="40.140625" style="288" customWidth="1"/>
    <col min="15" max="15" width="15" style="289" customWidth="1"/>
    <col min="16" max="16" width="19.140625" style="290" bestFit="1" customWidth="1"/>
    <col min="17" max="17" width="8.42578125" style="289" customWidth="1"/>
    <col min="18" max="18" width="8.85546875" style="289" customWidth="1"/>
    <col min="19" max="16384" width="8.85546875" style="143"/>
  </cols>
  <sheetData>
    <row r="1" spans="1:18" x14ac:dyDescent="0.25">
      <c r="A1" s="353"/>
      <c r="B1" s="354"/>
      <c r="C1" s="354"/>
      <c r="D1" s="354"/>
      <c r="E1" s="354"/>
      <c r="F1" s="354"/>
      <c r="G1" s="354"/>
      <c r="H1" s="354"/>
      <c r="I1" s="355"/>
      <c r="J1" s="355"/>
      <c r="K1" s="356"/>
      <c r="L1" s="357"/>
      <c r="M1" s="354"/>
      <c r="N1" s="358"/>
      <c r="O1" s="153"/>
      <c r="P1" s="154"/>
      <c r="Q1" s="153"/>
      <c r="R1" s="153"/>
    </row>
    <row r="2" spans="1:18" x14ac:dyDescent="0.25">
      <c r="A2" s="359"/>
      <c r="B2" s="360" t="s">
        <v>554</v>
      </c>
      <c r="C2" s="360"/>
      <c r="D2" s="360"/>
      <c r="E2" s="360"/>
      <c r="F2" s="360"/>
      <c r="G2" s="360"/>
      <c r="H2" s="360"/>
      <c r="I2" s="361"/>
      <c r="J2" s="361"/>
      <c r="K2" s="362"/>
      <c r="L2" s="363"/>
      <c r="M2" s="360"/>
      <c r="N2" s="364"/>
      <c r="O2" s="153"/>
      <c r="P2" s="154"/>
      <c r="Q2" s="153"/>
      <c r="R2" s="153"/>
    </row>
    <row r="3" spans="1:18" x14ac:dyDescent="0.25">
      <c r="A3" s="359"/>
      <c r="B3" s="360"/>
      <c r="C3" s="360"/>
      <c r="D3" s="360"/>
      <c r="E3" s="360"/>
      <c r="F3" s="360"/>
      <c r="G3" s="360"/>
      <c r="H3" s="360"/>
      <c r="I3" s="361"/>
      <c r="J3" s="361"/>
      <c r="K3" s="362"/>
      <c r="L3" s="365" t="s">
        <v>569</v>
      </c>
      <c r="M3" s="360"/>
      <c r="N3" s="364"/>
      <c r="O3" s="153"/>
      <c r="P3" s="154"/>
      <c r="Q3" s="153"/>
      <c r="R3" s="153"/>
    </row>
    <row r="4" spans="1:18" x14ac:dyDescent="0.25">
      <c r="A4" s="359"/>
      <c r="B4" s="360"/>
      <c r="C4" s="360"/>
      <c r="D4" s="360"/>
      <c r="E4" s="360"/>
      <c r="F4" s="360"/>
      <c r="G4" s="360"/>
      <c r="H4" s="360"/>
      <c r="I4" s="361"/>
      <c r="J4" s="361"/>
      <c r="K4" s="362"/>
      <c r="L4" s="363"/>
      <c r="M4" s="360"/>
      <c r="N4" s="364"/>
      <c r="O4" s="153"/>
      <c r="P4" s="154"/>
      <c r="Q4" s="153"/>
      <c r="R4" s="153"/>
    </row>
    <row r="5" spans="1:18" ht="27.75" x14ac:dyDescent="0.25">
      <c r="A5" s="359"/>
      <c r="B5" s="360"/>
      <c r="C5" s="366" t="s">
        <v>8</v>
      </c>
      <c r="D5" s="97"/>
      <c r="E5" s="367"/>
      <c r="F5" s="367"/>
      <c r="G5" s="367"/>
      <c r="H5" s="367"/>
      <c r="I5" s="361"/>
      <c r="J5" s="361"/>
      <c r="K5" s="362"/>
      <c r="L5" s="363"/>
      <c r="M5" s="360"/>
      <c r="N5" s="364"/>
      <c r="O5" s="153"/>
      <c r="P5" s="170" t="s">
        <v>0</v>
      </c>
      <c r="Q5" s="171">
        <v>10</v>
      </c>
      <c r="R5" s="153"/>
    </row>
    <row r="6" spans="1:18" ht="27.75" x14ac:dyDescent="0.25">
      <c r="A6" s="359"/>
      <c r="B6" s="360"/>
      <c r="C6" s="366" t="s">
        <v>9</v>
      </c>
      <c r="D6" s="97"/>
      <c r="E6" s="367"/>
      <c r="F6" s="367"/>
      <c r="G6" s="367"/>
      <c r="H6" s="367"/>
      <c r="I6" s="361"/>
      <c r="J6" s="361"/>
      <c r="K6" s="362"/>
      <c r="L6" s="363"/>
      <c r="M6" s="360"/>
      <c r="N6" s="364"/>
      <c r="O6" s="153"/>
      <c r="P6" s="172" t="s">
        <v>334</v>
      </c>
      <c r="Q6" s="171">
        <f>P104</f>
        <v>9.5</v>
      </c>
      <c r="R6" s="153"/>
    </row>
    <row r="7" spans="1:18" ht="27.75" x14ac:dyDescent="0.25">
      <c r="A7" s="359"/>
      <c r="B7" s="360"/>
      <c r="C7" s="360"/>
      <c r="D7" s="97"/>
      <c r="E7" s="97"/>
      <c r="F7" s="97"/>
      <c r="G7" s="97"/>
      <c r="H7" s="367"/>
      <c r="I7" s="361"/>
      <c r="J7" s="361"/>
      <c r="K7" s="362"/>
      <c r="L7" s="363"/>
      <c r="M7" s="360"/>
      <c r="N7" s="364"/>
      <c r="O7" s="153"/>
      <c r="P7" s="170" t="s">
        <v>1</v>
      </c>
      <c r="Q7" s="171">
        <f>P141</f>
        <v>6</v>
      </c>
      <c r="R7" s="153"/>
    </row>
    <row r="8" spans="1:18" ht="27.75" x14ac:dyDescent="0.25">
      <c r="A8" s="359"/>
      <c r="B8" s="360"/>
      <c r="C8" s="360"/>
      <c r="D8" s="368" t="s">
        <v>10</v>
      </c>
      <c r="E8" s="367"/>
      <c r="F8" s="367"/>
      <c r="G8" s="367"/>
      <c r="H8" s="367"/>
      <c r="I8" s="361"/>
      <c r="J8" s="361"/>
      <c r="K8" s="362"/>
      <c r="L8" s="363"/>
      <c r="M8" s="360"/>
      <c r="N8" s="364"/>
      <c r="O8" s="153"/>
      <c r="P8" s="170" t="s">
        <v>2</v>
      </c>
      <c r="Q8" s="171">
        <f>P156</f>
        <v>5</v>
      </c>
      <c r="R8" s="153"/>
    </row>
    <row r="9" spans="1:18" ht="12.75" customHeight="1" x14ac:dyDescent="0.25">
      <c r="A9" s="359"/>
      <c r="B9" s="366"/>
      <c r="C9" s="366"/>
      <c r="D9" s="481" t="s">
        <v>563</v>
      </c>
      <c r="E9" s="481"/>
      <c r="F9" s="481"/>
      <c r="G9" s="481"/>
      <c r="H9" s="481"/>
      <c r="I9" s="481"/>
      <c r="J9" s="481"/>
      <c r="K9" s="481"/>
      <c r="L9" s="369"/>
      <c r="M9" s="360"/>
      <c r="N9" s="364"/>
      <c r="O9" s="153"/>
      <c r="P9" s="170" t="s">
        <v>3</v>
      </c>
      <c r="Q9" s="171">
        <f>P170</f>
        <v>10</v>
      </c>
      <c r="R9" s="153"/>
    </row>
    <row r="10" spans="1:18" ht="12.75" customHeight="1" x14ac:dyDescent="0.25">
      <c r="A10" s="359"/>
      <c r="B10" s="366"/>
      <c r="C10" s="366"/>
      <c r="D10" s="481"/>
      <c r="E10" s="481"/>
      <c r="F10" s="481"/>
      <c r="G10" s="481"/>
      <c r="H10" s="481"/>
      <c r="I10" s="481"/>
      <c r="J10" s="481"/>
      <c r="K10" s="481"/>
      <c r="L10" s="369"/>
      <c r="M10" s="360"/>
      <c r="N10" s="364"/>
      <c r="O10" s="153"/>
      <c r="P10" s="170" t="s">
        <v>4</v>
      </c>
      <c r="Q10" s="171">
        <f>P182</f>
        <v>7</v>
      </c>
      <c r="R10" s="153"/>
    </row>
    <row r="11" spans="1:18" x14ac:dyDescent="0.25">
      <c r="A11" s="359"/>
      <c r="B11" s="360"/>
      <c r="C11" s="360"/>
      <c r="D11" s="481"/>
      <c r="E11" s="481"/>
      <c r="F11" s="481"/>
      <c r="G11" s="481"/>
      <c r="H11" s="481"/>
      <c r="I11" s="481"/>
      <c r="J11" s="481"/>
      <c r="K11" s="481"/>
      <c r="L11" s="369"/>
      <c r="M11" s="360"/>
      <c r="N11" s="364"/>
      <c r="O11" s="153"/>
      <c r="P11" s="170" t="s">
        <v>335</v>
      </c>
      <c r="Q11" s="171">
        <f>P231</f>
        <v>6</v>
      </c>
      <c r="R11" s="153"/>
    </row>
    <row r="12" spans="1:18" x14ac:dyDescent="0.25">
      <c r="A12" s="359"/>
      <c r="B12" s="360"/>
      <c r="C12" s="360"/>
      <c r="D12" s="481"/>
      <c r="E12" s="481"/>
      <c r="F12" s="481"/>
      <c r="G12" s="481"/>
      <c r="H12" s="481"/>
      <c r="I12" s="481"/>
      <c r="J12" s="481"/>
      <c r="K12" s="481"/>
      <c r="L12" s="369"/>
      <c r="M12" s="360"/>
      <c r="N12" s="364"/>
      <c r="O12" s="153"/>
      <c r="P12" s="170" t="s">
        <v>5</v>
      </c>
      <c r="Q12" s="171">
        <f>P245</f>
        <v>2</v>
      </c>
      <c r="R12" s="153"/>
    </row>
    <row r="13" spans="1:18" x14ac:dyDescent="0.25">
      <c r="A13" s="359"/>
      <c r="B13" s="360"/>
      <c r="C13" s="360"/>
      <c r="D13" s="360"/>
      <c r="E13" s="360"/>
      <c r="F13" s="360"/>
      <c r="G13" s="360"/>
      <c r="H13" s="360"/>
      <c r="I13" s="361"/>
      <c r="J13" s="361"/>
      <c r="K13" s="362"/>
      <c r="L13" s="363"/>
      <c r="M13" s="360"/>
      <c r="N13" s="364"/>
      <c r="O13" s="153"/>
      <c r="P13" s="170" t="s">
        <v>6</v>
      </c>
      <c r="Q13" s="171">
        <f>P261</f>
        <v>7.2222222222222232</v>
      </c>
      <c r="R13" s="153"/>
    </row>
    <row r="14" spans="1:18" ht="12.75" customHeight="1" outlineLevel="1" x14ac:dyDescent="0.25">
      <c r="A14" s="359"/>
      <c r="B14" s="360"/>
      <c r="C14" s="360"/>
      <c r="D14" s="482" t="s">
        <v>562</v>
      </c>
      <c r="E14" s="482"/>
      <c r="F14" s="482"/>
      <c r="G14" s="482"/>
      <c r="H14" s="482"/>
      <c r="I14" s="482"/>
      <c r="J14" s="482"/>
      <c r="K14" s="482"/>
      <c r="L14" s="363"/>
      <c r="M14" s="360"/>
      <c r="N14" s="364"/>
      <c r="O14" s="153"/>
      <c r="P14" s="170" t="s">
        <v>7</v>
      </c>
      <c r="Q14" s="171">
        <f>P275</f>
        <v>3.3333333333333335</v>
      </c>
      <c r="R14" s="153"/>
    </row>
    <row r="15" spans="1:18" outlineLevel="1" x14ac:dyDescent="0.25">
      <c r="A15" s="359"/>
      <c r="B15" s="360"/>
      <c r="C15" s="360"/>
      <c r="D15" s="482"/>
      <c r="E15" s="482"/>
      <c r="F15" s="482"/>
      <c r="G15" s="482"/>
      <c r="H15" s="482"/>
      <c r="I15" s="482"/>
      <c r="J15" s="482"/>
      <c r="K15" s="482"/>
      <c r="L15" s="363"/>
      <c r="M15" s="360"/>
      <c r="N15" s="364"/>
      <c r="O15" s="153"/>
      <c r="P15" s="154"/>
      <c r="Q15" s="153"/>
      <c r="R15" s="153"/>
    </row>
    <row r="16" spans="1:18" outlineLevel="1" x14ac:dyDescent="0.25">
      <c r="A16" s="359"/>
      <c r="B16" s="360"/>
      <c r="C16" s="360"/>
      <c r="D16" s="482"/>
      <c r="E16" s="482"/>
      <c r="F16" s="482"/>
      <c r="G16" s="482"/>
      <c r="H16" s="482"/>
      <c r="I16" s="482"/>
      <c r="J16" s="482"/>
      <c r="K16" s="482"/>
      <c r="L16" s="363"/>
      <c r="M16" s="360"/>
      <c r="N16" s="364"/>
      <c r="O16" s="153"/>
      <c r="P16" s="154"/>
      <c r="Q16" s="153"/>
      <c r="R16" s="153"/>
    </row>
    <row r="17" spans="1:18" ht="12.75" customHeight="1" outlineLevel="1" x14ac:dyDescent="0.25">
      <c r="A17" s="359"/>
      <c r="B17" s="360"/>
      <c r="C17" s="360"/>
      <c r="D17" s="482"/>
      <c r="E17" s="482"/>
      <c r="F17" s="482"/>
      <c r="G17" s="482"/>
      <c r="H17" s="482"/>
      <c r="I17" s="482"/>
      <c r="J17" s="482"/>
      <c r="K17" s="482"/>
      <c r="L17" s="363"/>
      <c r="M17" s="360"/>
      <c r="N17" s="364"/>
      <c r="O17" s="153"/>
      <c r="P17" s="154"/>
      <c r="Q17" s="153"/>
      <c r="R17" s="153"/>
    </row>
    <row r="18" spans="1:18" ht="12.75" customHeight="1" outlineLevel="1" x14ac:dyDescent="0.25">
      <c r="A18" s="359"/>
      <c r="B18" s="360"/>
      <c r="C18" s="360"/>
      <c r="D18" s="370"/>
      <c r="E18" s="370"/>
      <c r="F18" s="370"/>
      <c r="G18" s="370"/>
      <c r="H18" s="370"/>
      <c r="I18" s="370"/>
      <c r="J18" s="370"/>
      <c r="K18" s="362"/>
      <c r="L18" s="363"/>
      <c r="M18" s="360"/>
      <c r="N18" s="364"/>
      <c r="O18" s="153"/>
      <c r="P18" s="154"/>
      <c r="Q18" s="153"/>
      <c r="R18" s="153"/>
    </row>
    <row r="19" spans="1:18" outlineLevel="1" x14ac:dyDescent="0.25">
      <c r="A19" s="359"/>
      <c r="B19" s="360"/>
      <c r="C19" s="360"/>
      <c r="D19" s="370"/>
      <c r="E19" s="370"/>
      <c r="F19" s="370"/>
      <c r="G19" s="370"/>
      <c r="H19" s="370"/>
      <c r="I19" s="370"/>
      <c r="J19" s="370"/>
      <c r="K19" s="362"/>
      <c r="L19" s="363"/>
      <c r="M19" s="360"/>
      <c r="N19" s="364"/>
      <c r="O19" s="173"/>
      <c r="P19" s="154"/>
      <c r="Q19" s="153"/>
      <c r="R19" s="153"/>
    </row>
    <row r="20" spans="1:18" outlineLevel="1" x14ac:dyDescent="0.25">
      <c r="A20" s="359"/>
      <c r="B20" s="360"/>
      <c r="C20" s="360"/>
      <c r="D20" s="370"/>
      <c r="E20" s="370"/>
      <c r="F20" s="370"/>
      <c r="G20" s="370"/>
      <c r="H20" s="370"/>
      <c r="I20" s="361"/>
      <c r="J20" s="361"/>
      <c r="K20" s="362"/>
      <c r="L20" s="363"/>
      <c r="M20" s="360"/>
      <c r="N20" s="364"/>
      <c r="O20" s="153"/>
      <c r="P20" s="154"/>
      <c r="Q20" s="153"/>
      <c r="R20" s="153"/>
    </row>
    <row r="21" spans="1:18" outlineLevel="1" x14ac:dyDescent="0.25">
      <c r="A21" s="359"/>
      <c r="B21" s="360"/>
      <c r="C21" s="360"/>
      <c r="D21" s="370"/>
      <c r="E21" s="370"/>
      <c r="F21" s="370"/>
      <c r="G21" s="370"/>
      <c r="H21" s="370"/>
      <c r="I21" s="361"/>
      <c r="J21" s="361"/>
      <c r="K21" s="362"/>
      <c r="L21" s="363"/>
      <c r="M21" s="360"/>
      <c r="N21" s="364"/>
      <c r="O21" s="153"/>
      <c r="P21" s="154"/>
      <c r="Q21" s="153"/>
      <c r="R21" s="153"/>
    </row>
    <row r="22" spans="1:18" outlineLevel="1" x14ac:dyDescent="0.25">
      <c r="A22" s="359"/>
      <c r="B22" s="360"/>
      <c r="C22" s="360"/>
      <c r="D22" s="360"/>
      <c r="E22" s="360"/>
      <c r="F22" s="360"/>
      <c r="G22" s="360"/>
      <c r="H22" s="360"/>
      <c r="I22" s="361"/>
      <c r="J22" s="361"/>
      <c r="K22" s="362"/>
      <c r="L22" s="363"/>
      <c r="M22" s="360"/>
      <c r="N22" s="364"/>
      <c r="O22" s="153"/>
      <c r="P22" s="154"/>
      <c r="Q22" s="153"/>
      <c r="R22" s="153"/>
    </row>
    <row r="23" spans="1:18" outlineLevel="1" x14ac:dyDescent="0.25">
      <c r="A23" s="359"/>
      <c r="B23" s="360"/>
      <c r="C23" s="360"/>
      <c r="D23" s="360"/>
      <c r="E23" s="360"/>
      <c r="F23" s="360"/>
      <c r="G23" s="360"/>
      <c r="H23" s="360"/>
      <c r="I23" s="361"/>
      <c r="J23" s="361"/>
      <c r="K23" s="362"/>
      <c r="L23" s="363"/>
      <c r="M23" s="360"/>
      <c r="N23" s="364"/>
      <c r="O23" s="153"/>
      <c r="P23" s="154"/>
      <c r="Q23" s="153"/>
      <c r="R23" s="153"/>
    </row>
    <row r="24" spans="1:18" outlineLevel="1" x14ac:dyDescent="0.25">
      <c r="A24" s="371"/>
      <c r="B24" s="372"/>
      <c r="C24" s="372"/>
      <c r="D24" s="372"/>
      <c r="E24" s="372"/>
      <c r="F24" s="372"/>
      <c r="G24" s="372"/>
      <c r="H24" s="372"/>
      <c r="I24" s="373"/>
      <c r="J24" s="373"/>
      <c r="K24" s="374"/>
      <c r="L24" s="375"/>
      <c r="M24" s="372"/>
      <c r="N24" s="376"/>
      <c r="O24" s="153"/>
      <c r="P24" s="154"/>
      <c r="Q24" s="153"/>
      <c r="R24" s="153"/>
    </row>
    <row r="25" spans="1:18" outlineLevel="1" x14ac:dyDescent="0.25">
      <c r="A25" s="359"/>
      <c r="B25" s="360"/>
      <c r="C25" s="360"/>
      <c r="D25" s="360"/>
      <c r="E25" s="360"/>
      <c r="F25" s="360"/>
      <c r="G25" s="360"/>
      <c r="H25" s="360"/>
      <c r="I25" s="361"/>
      <c r="J25" s="361"/>
      <c r="K25" s="362"/>
      <c r="L25" s="363"/>
      <c r="M25" s="360"/>
      <c r="N25" s="364"/>
      <c r="O25" s="153"/>
      <c r="P25" s="154"/>
      <c r="Q25" s="153"/>
      <c r="R25" s="153"/>
    </row>
    <row r="26" spans="1:18" outlineLevel="1" x14ac:dyDescent="0.25">
      <c r="A26" s="359"/>
      <c r="B26" s="360"/>
      <c r="C26" s="360"/>
      <c r="D26" s="360"/>
      <c r="E26" s="360"/>
      <c r="F26" s="360"/>
      <c r="G26" s="360"/>
      <c r="H26" s="360"/>
      <c r="I26" s="361"/>
      <c r="J26" s="361"/>
      <c r="K26" s="362"/>
      <c r="L26" s="363"/>
      <c r="M26" s="360"/>
      <c r="N26" s="364"/>
      <c r="O26" s="153"/>
      <c r="P26" s="154"/>
      <c r="Q26" s="153"/>
      <c r="R26" s="153"/>
    </row>
    <row r="27" spans="1:18" outlineLevel="1" x14ac:dyDescent="0.25">
      <c r="A27" s="359"/>
      <c r="B27" s="360"/>
      <c r="C27" s="360"/>
      <c r="D27" s="360"/>
      <c r="E27" s="360"/>
      <c r="F27" s="360"/>
      <c r="G27" s="360"/>
      <c r="H27" s="360"/>
      <c r="I27" s="361"/>
      <c r="J27" s="361"/>
      <c r="K27" s="362"/>
      <c r="L27" s="363"/>
      <c r="M27" s="360"/>
      <c r="N27" s="364"/>
      <c r="O27" s="153"/>
      <c r="P27" s="154"/>
      <c r="Q27" s="153"/>
      <c r="R27" s="153"/>
    </row>
    <row r="28" spans="1:18" outlineLevel="1" x14ac:dyDescent="0.25">
      <c r="A28" s="359"/>
      <c r="B28" s="360"/>
      <c r="C28" s="360"/>
      <c r="D28" s="360"/>
      <c r="E28" s="360"/>
      <c r="F28" s="360"/>
      <c r="G28" s="360"/>
      <c r="H28" s="360"/>
      <c r="I28" s="361"/>
      <c r="J28" s="361"/>
      <c r="K28" s="362"/>
      <c r="L28" s="363"/>
      <c r="M28" s="360"/>
      <c r="N28" s="364"/>
      <c r="O28" s="153"/>
      <c r="P28" s="154"/>
      <c r="Q28" s="153"/>
      <c r="R28" s="153"/>
    </row>
    <row r="29" spans="1:18" outlineLevel="1" x14ac:dyDescent="0.25">
      <c r="A29" s="359"/>
      <c r="B29" s="360"/>
      <c r="C29" s="360"/>
      <c r="D29" s="360"/>
      <c r="E29" s="360"/>
      <c r="F29" s="360"/>
      <c r="G29" s="360"/>
      <c r="H29" s="360"/>
      <c r="I29" s="361"/>
      <c r="J29" s="361"/>
      <c r="K29" s="362"/>
      <c r="L29" s="363"/>
      <c r="M29" s="360"/>
      <c r="N29" s="364"/>
      <c r="O29" s="153"/>
      <c r="P29" s="154"/>
      <c r="Q29" s="153"/>
      <c r="R29" s="153"/>
    </row>
    <row r="30" spans="1:18" outlineLevel="1" x14ac:dyDescent="0.25">
      <c r="A30" s="359"/>
      <c r="B30" s="360"/>
      <c r="C30" s="360"/>
      <c r="D30" s="360"/>
      <c r="E30" s="360"/>
      <c r="F30" s="360"/>
      <c r="G30" s="360"/>
      <c r="H30" s="360"/>
      <c r="I30" s="361"/>
      <c r="J30" s="361"/>
      <c r="K30" s="362"/>
      <c r="L30" s="363"/>
      <c r="M30" s="360"/>
      <c r="N30" s="364"/>
      <c r="O30" s="153"/>
      <c r="P30" s="154"/>
      <c r="Q30" s="153"/>
      <c r="R30" s="153"/>
    </row>
    <row r="31" spans="1:18" outlineLevel="1" x14ac:dyDescent="0.25">
      <c r="A31" s="359"/>
      <c r="B31" s="360"/>
      <c r="C31" s="360"/>
      <c r="D31" s="360"/>
      <c r="E31" s="360"/>
      <c r="F31" s="360"/>
      <c r="G31" s="360"/>
      <c r="H31" s="360"/>
      <c r="I31" s="361"/>
      <c r="J31" s="361"/>
      <c r="K31" s="362"/>
      <c r="L31" s="363"/>
      <c r="M31" s="360"/>
      <c r="N31" s="364"/>
      <c r="O31" s="153"/>
      <c r="P31" s="154"/>
      <c r="Q31" s="153"/>
      <c r="R31" s="153"/>
    </row>
    <row r="32" spans="1:18" outlineLevel="1" x14ac:dyDescent="0.25">
      <c r="A32" s="359"/>
      <c r="B32" s="360"/>
      <c r="C32" s="360"/>
      <c r="D32" s="360"/>
      <c r="E32" s="360"/>
      <c r="F32" s="360"/>
      <c r="G32" s="360"/>
      <c r="H32" s="360"/>
      <c r="I32" s="361"/>
      <c r="J32" s="361"/>
      <c r="K32" s="362"/>
      <c r="L32" s="363"/>
      <c r="M32" s="360"/>
      <c r="N32" s="364"/>
      <c r="O32" s="153"/>
      <c r="P32" s="154"/>
      <c r="Q32" s="153"/>
      <c r="R32" s="153"/>
    </row>
    <row r="33" spans="1:18" outlineLevel="1" x14ac:dyDescent="0.25">
      <c r="A33" s="359"/>
      <c r="B33" s="360"/>
      <c r="C33" s="360"/>
      <c r="D33" s="360"/>
      <c r="E33" s="360"/>
      <c r="F33" s="360"/>
      <c r="G33" s="360"/>
      <c r="H33" s="360"/>
      <c r="I33" s="361"/>
      <c r="J33" s="361"/>
      <c r="K33" s="362"/>
      <c r="L33" s="363"/>
      <c r="M33" s="360"/>
      <c r="N33" s="364"/>
      <c r="O33" s="153"/>
      <c r="P33" s="154"/>
      <c r="Q33" s="153"/>
      <c r="R33" s="153"/>
    </row>
    <row r="34" spans="1:18" outlineLevel="1" x14ac:dyDescent="0.25">
      <c r="A34" s="359"/>
      <c r="B34" s="360"/>
      <c r="C34" s="360"/>
      <c r="D34" s="360"/>
      <c r="E34" s="360"/>
      <c r="F34" s="360"/>
      <c r="G34" s="360"/>
      <c r="H34" s="360"/>
      <c r="I34" s="361"/>
      <c r="J34" s="361"/>
      <c r="K34" s="362"/>
      <c r="L34" s="363"/>
      <c r="M34" s="360"/>
      <c r="N34" s="364"/>
      <c r="O34" s="153"/>
      <c r="P34" s="154"/>
      <c r="Q34" s="153"/>
      <c r="R34" s="153"/>
    </row>
    <row r="35" spans="1:18" outlineLevel="1" x14ac:dyDescent="0.25">
      <c r="A35" s="359"/>
      <c r="B35" s="360"/>
      <c r="C35" s="360"/>
      <c r="D35" s="360"/>
      <c r="E35" s="360"/>
      <c r="F35" s="360"/>
      <c r="G35" s="360"/>
      <c r="H35" s="360"/>
      <c r="I35" s="361"/>
      <c r="J35" s="361"/>
      <c r="K35" s="362"/>
      <c r="L35" s="363"/>
      <c r="M35" s="360"/>
      <c r="N35" s="364"/>
      <c r="O35" s="153"/>
      <c r="P35" s="154"/>
      <c r="Q35" s="153"/>
      <c r="R35" s="153"/>
    </row>
    <row r="36" spans="1:18" outlineLevel="1" x14ac:dyDescent="0.25">
      <c r="A36" s="359"/>
      <c r="B36" s="360"/>
      <c r="C36" s="360"/>
      <c r="D36" s="360"/>
      <c r="E36" s="360"/>
      <c r="F36" s="360"/>
      <c r="G36" s="360"/>
      <c r="H36" s="360"/>
      <c r="I36" s="361"/>
      <c r="J36" s="361"/>
      <c r="K36" s="362"/>
      <c r="L36" s="363"/>
      <c r="M36" s="360"/>
      <c r="N36" s="364"/>
      <c r="O36" s="153"/>
      <c r="P36" s="154"/>
      <c r="Q36" s="153"/>
      <c r="R36" s="153"/>
    </row>
    <row r="37" spans="1:18" outlineLevel="1" x14ac:dyDescent="0.25">
      <c r="A37" s="359"/>
      <c r="B37" s="360"/>
      <c r="C37" s="360"/>
      <c r="D37" s="360"/>
      <c r="E37" s="360"/>
      <c r="F37" s="360"/>
      <c r="G37" s="360"/>
      <c r="H37" s="360"/>
      <c r="I37" s="361"/>
      <c r="J37" s="361"/>
      <c r="K37" s="362"/>
      <c r="L37" s="363"/>
      <c r="M37" s="360"/>
      <c r="N37" s="364"/>
      <c r="O37" s="153"/>
      <c r="P37" s="154"/>
      <c r="Q37" s="153"/>
      <c r="R37" s="153"/>
    </row>
    <row r="38" spans="1:18" outlineLevel="1" x14ac:dyDescent="0.25">
      <c r="A38" s="359"/>
      <c r="B38" s="360"/>
      <c r="C38" s="360"/>
      <c r="D38" s="360"/>
      <c r="E38" s="360"/>
      <c r="F38" s="360"/>
      <c r="G38" s="360"/>
      <c r="H38" s="360"/>
      <c r="I38" s="361"/>
      <c r="J38" s="361"/>
      <c r="K38" s="362"/>
      <c r="L38" s="363"/>
      <c r="M38" s="360"/>
      <c r="N38" s="364"/>
      <c r="O38" s="153"/>
      <c r="P38" s="154"/>
      <c r="Q38" s="153"/>
      <c r="R38" s="153"/>
    </row>
    <row r="39" spans="1:18" outlineLevel="1" x14ac:dyDescent="0.25">
      <c r="A39" s="359"/>
      <c r="B39" s="360"/>
      <c r="C39" s="360"/>
      <c r="D39" s="360"/>
      <c r="E39" s="360"/>
      <c r="F39" s="360"/>
      <c r="G39" s="360"/>
      <c r="H39" s="360"/>
      <c r="I39" s="361"/>
      <c r="J39" s="361"/>
      <c r="K39" s="362"/>
      <c r="L39" s="363"/>
      <c r="M39" s="360"/>
      <c r="N39" s="364"/>
      <c r="O39" s="153"/>
      <c r="P39" s="154"/>
      <c r="Q39" s="153"/>
      <c r="R39" s="153"/>
    </row>
    <row r="40" spans="1:18" outlineLevel="1" x14ac:dyDescent="0.25">
      <c r="A40" s="359"/>
      <c r="B40" s="360"/>
      <c r="C40" s="360"/>
      <c r="D40" s="360"/>
      <c r="E40" s="360"/>
      <c r="F40" s="360"/>
      <c r="G40" s="360"/>
      <c r="H40" s="360"/>
      <c r="I40" s="361"/>
      <c r="J40" s="361"/>
      <c r="K40" s="362"/>
      <c r="L40" s="363"/>
      <c r="M40" s="360"/>
      <c r="N40" s="364"/>
      <c r="O40" s="153"/>
      <c r="P40" s="154"/>
      <c r="Q40" s="153"/>
      <c r="R40" s="153"/>
    </row>
    <row r="41" spans="1:18" outlineLevel="1" x14ac:dyDescent="0.25">
      <c r="A41" s="359"/>
      <c r="B41" s="360"/>
      <c r="C41" s="360"/>
      <c r="D41" s="360"/>
      <c r="E41" s="360"/>
      <c r="F41" s="360"/>
      <c r="G41" s="360"/>
      <c r="H41" s="360"/>
      <c r="I41" s="361"/>
      <c r="J41" s="361"/>
      <c r="K41" s="362"/>
      <c r="L41" s="363"/>
      <c r="M41" s="360"/>
      <c r="N41" s="364"/>
      <c r="O41" s="153"/>
      <c r="P41" s="154"/>
      <c r="Q41" s="153"/>
      <c r="R41" s="153"/>
    </row>
    <row r="42" spans="1:18" outlineLevel="1" x14ac:dyDescent="0.25">
      <c r="A42" s="359"/>
      <c r="B42" s="360"/>
      <c r="C42" s="360"/>
      <c r="D42" s="360"/>
      <c r="E42" s="360"/>
      <c r="F42" s="360"/>
      <c r="G42" s="360"/>
      <c r="H42" s="360"/>
      <c r="I42" s="361"/>
      <c r="J42" s="361"/>
      <c r="K42" s="362"/>
      <c r="L42" s="363"/>
      <c r="M42" s="360"/>
      <c r="N42" s="364"/>
      <c r="O42" s="153"/>
      <c r="P42" s="154"/>
      <c r="Q42" s="153"/>
      <c r="R42" s="153"/>
    </row>
    <row r="43" spans="1:18" outlineLevel="1" x14ac:dyDescent="0.25">
      <c r="A43" s="359"/>
      <c r="B43" s="360"/>
      <c r="C43" s="360"/>
      <c r="D43" s="360"/>
      <c r="E43" s="360"/>
      <c r="F43" s="360"/>
      <c r="G43" s="360"/>
      <c r="H43" s="360"/>
      <c r="I43" s="361"/>
      <c r="J43" s="361"/>
      <c r="K43" s="362"/>
      <c r="L43" s="363"/>
      <c r="M43" s="360"/>
      <c r="N43" s="364"/>
      <c r="O43" s="153"/>
      <c r="P43" s="154"/>
      <c r="Q43" s="153"/>
      <c r="R43" s="153"/>
    </row>
    <row r="44" spans="1:18" outlineLevel="1" x14ac:dyDescent="0.25">
      <c r="A44" s="359"/>
      <c r="B44" s="360"/>
      <c r="C44" s="360"/>
      <c r="D44" s="360"/>
      <c r="E44" s="360"/>
      <c r="F44" s="360"/>
      <c r="G44" s="360"/>
      <c r="H44" s="360"/>
      <c r="I44" s="361"/>
      <c r="J44" s="361"/>
      <c r="K44" s="362"/>
      <c r="L44" s="363"/>
      <c r="M44" s="360"/>
      <c r="N44" s="364"/>
      <c r="O44" s="153"/>
      <c r="P44" s="154"/>
      <c r="Q44" s="153"/>
      <c r="R44" s="153"/>
    </row>
    <row r="45" spans="1:18" outlineLevel="1" x14ac:dyDescent="0.25">
      <c r="A45" s="359"/>
      <c r="B45" s="360"/>
      <c r="C45" s="360"/>
      <c r="D45" s="360"/>
      <c r="E45" s="360"/>
      <c r="F45" s="360"/>
      <c r="G45" s="360"/>
      <c r="H45" s="360"/>
      <c r="I45" s="361"/>
      <c r="J45" s="361"/>
      <c r="K45" s="362"/>
      <c r="L45" s="363"/>
      <c r="M45" s="360"/>
      <c r="N45" s="364"/>
      <c r="O45" s="153"/>
      <c r="P45" s="154"/>
      <c r="Q45" s="153"/>
      <c r="R45" s="153"/>
    </row>
    <row r="46" spans="1:18" outlineLevel="1" x14ac:dyDescent="0.25">
      <c r="A46" s="359"/>
      <c r="B46" s="360"/>
      <c r="C46" s="360"/>
      <c r="D46" s="360"/>
      <c r="E46" s="360"/>
      <c r="F46" s="360"/>
      <c r="G46" s="360"/>
      <c r="H46" s="360"/>
      <c r="I46" s="361"/>
      <c r="J46" s="361"/>
      <c r="K46" s="362"/>
      <c r="L46" s="363"/>
      <c r="M46" s="360"/>
      <c r="N46" s="364"/>
      <c r="O46" s="153"/>
      <c r="P46" s="154"/>
      <c r="Q46" s="153"/>
      <c r="R46" s="153"/>
    </row>
    <row r="47" spans="1:18" outlineLevel="1" x14ac:dyDescent="0.25">
      <c r="A47" s="359"/>
      <c r="B47" s="360"/>
      <c r="C47" s="360"/>
      <c r="D47" s="360"/>
      <c r="E47" s="360"/>
      <c r="F47" s="360"/>
      <c r="G47" s="360"/>
      <c r="H47" s="360"/>
      <c r="I47" s="361"/>
      <c r="J47" s="361"/>
      <c r="K47" s="362"/>
      <c r="L47" s="363"/>
      <c r="M47" s="360"/>
      <c r="N47" s="364"/>
      <c r="O47" s="153"/>
      <c r="P47" s="154"/>
      <c r="Q47" s="153"/>
      <c r="R47" s="153"/>
    </row>
    <row r="48" spans="1:18" outlineLevel="1" x14ac:dyDescent="0.25">
      <c r="A48" s="359"/>
      <c r="B48" s="360"/>
      <c r="C48" s="360"/>
      <c r="D48" s="360"/>
      <c r="E48" s="360"/>
      <c r="F48" s="360"/>
      <c r="G48" s="360"/>
      <c r="H48" s="360"/>
      <c r="I48" s="361"/>
      <c r="J48" s="361"/>
      <c r="K48" s="362"/>
      <c r="L48" s="363"/>
      <c r="M48" s="360"/>
      <c r="N48" s="364"/>
      <c r="O48" s="153"/>
      <c r="P48" s="154"/>
      <c r="Q48" s="153"/>
      <c r="R48" s="153"/>
    </row>
    <row r="49" spans="1:18" x14ac:dyDescent="0.25">
      <c r="A49" s="418"/>
      <c r="B49" s="426"/>
      <c r="C49" s="426"/>
      <c r="D49" s="409"/>
      <c r="E49" s="409"/>
      <c r="F49" s="409"/>
      <c r="G49" s="409"/>
      <c r="H49" s="409"/>
      <c r="I49" s="175"/>
      <c r="J49" s="175"/>
      <c r="K49" s="543"/>
      <c r="L49" s="543"/>
      <c r="M49" s="543"/>
      <c r="N49" s="176"/>
      <c r="O49" s="153"/>
      <c r="P49" s="154"/>
      <c r="Q49" s="153"/>
      <c r="R49" s="153"/>
    </row>
    <row r="50" spans="1:18" s="179" customFormat="1" x14ac:dyDescent="0.25">
      <c r="A50" s="427"/>
      <c r="B50" s="297" t="s">
        <v>11</v>
      </c>
      <c r="C50" s="297"/>
      <c r="D50" s="298"/>
      <c r="E50" s="298"/>
      <c r="F50" s="298"/>
      <c r="G50" s="298"/>
      <c r="H50" s="298"/>
      <c r="I50" s="136" t="s">
        <v>12</v>
      </c>
      <c r="J50" s="136"/>
      <c r="K50" s="504" t="s">
        <v>13</v>
      </c>
      <c r="L50" s="504"/>
      <c r="M50" s="504"/>
      <c r="N50" s="377" t="s">
        <v>14</v>
      </c>
      <c r="O50" s="173"/>
      <c r="P50" s="178"/>
      <c r="Q50" s="173"/>
      <c r="R50" s="173"/>
    </row>
    <row r="51" spans="1:18" ht="25.5" x14ac:dyDescent="0.25">
      <c r="A51" s="411"/>
      <c r="B51" s="295" t="s">
        <v>15</v>
      </c>
      <c r="C51" s="295"/>
      <c r="D51" s="295"/>
      <c r="E51" s="295"/>
      <c r="F51" s="295"/>
      <c r="G51" s="295"/>
      <c r="H51" s="295"/>
      <c r="I51" s="478" t="s">
        <v>605</v>
      </c>
      <c r="J51" s="478"/>
      <c r="K51" s="293"/>
      <c r="L51" s="294"/>
      <c r="M51" s="295"/>
      <c r="N51" s="378" t="s">
        <v>567</v>
      </c>
      <c r="O51" s="153"/>
      <c r="P51" s="154"/>
      <c r="Q51" s="153"/>
      <c r="R51" s="153"/>
    </row>
    <row r="52" spans="1:18" x14ac:dyDescent="0.25">
      <c r="A52" s="411"/>
      <c r="B52" s="295" t="s">
        <v>16</v>
      </c>
      <c r="C52" s="295"/>
      <c r="D52" s="295"/>
      <c r="E52" s="295"/>
      <c r="F52" s="295"/>
      <c r="G52" s="295"/>
      <c r="H52" s="295"/>
      <c r="I52" s="478" t="s">
        <v>606</v>
      </c>
      <c r="J52" s="478"/>
      <c r="K52" s="293"/>
      <c r="L52" s="294"/>
      <c r="M52" s="295"/>
      <c r="N52" s="141"/>
      <c r="O52" s="153"/>
      <c r="P52" s="154"/>
      <c r="Q52" s="153"/>
      <c r="R52" s="153"/>
    </row>
    <row r="53" spans="1:18" ht="14.45" customHeight="1" x14ac:dyDescent="0.25">
      <c r="A53" s="411"/>
      <c r="B53" s="294" t="s">
        <v>17</v>
      </c>
      <c r="C53" s="294"/>
      <c r="D53" s="294"/>
      <c r="E53" s="294"/>
      <c r="F53" s="294"/>
      <c r="G53" s="294"/>
      <c r="H53" s="294"/>
      <c r="I53" s="135" t="b">
        <v>0</v>
      </c>
      <c r="J53" s="135"/>
      <c r="K53" s="293"/>
      <c r="L53" s="430" t="s">
        <v>533</v>
      </c>
      <c r="M53" s="295"/>
      <c r="N53" s="141"/>
      <c r="O53" s="153"/>
      <c r="P53" s="154"/>
      <c r="Q53" s="153"/>
      <c r="R53" s="153"/>
    </row>
    <row r="54" spans="1:18" x14ac:dyDescent="0.25">
      <c r="A54" s="411"/>
      <c r="B54" s="295"/>
      <c r="C54" s="295"/>
      <c r="D54" s="295"/>
      <c r="E54" s="295"/>
      <c r="F54" s="295"/>
      <c r="G54" s="295"/>
      <c r="H54" s="295"/>
      <c r="I54" s="158"/>
      <c r="J54" s="158"/>
      <c r="K54" s="293"/>
      <c r="L54" s="294"/>
      <c r="M54" s="295"/>
      <c r="N54" s="141"/>
      <c r="O54" s="153"/>
      <c r="P54" s="154"/>
      <c r="Q54" s="153"/>
      <c r="R54" s="153"/>
    </row>
    <row r="55" spans="1:18" x14ac:dyDescent="0.25">
      <c r="A55" s="428"/>
      <c r="B55" s="298" t="s">
        <v>299</v>
      </c>
      <c r="C55" s="298"/>
      <c r="D55" s="295"/>
      <c r="E55" s="295"/>
      <c r="F55" s="295"/>
      <c r="G55" s="295"/>
      <c r="H55" s="295"/>
      <c r="I55" s="513"/>
      <c r="J55" s="513"/>
      <c r="K55" s="293"/>
      <c r="L55" s="294"/>
      <c r="M55" s="295"/>
      <c r="N55" s="141"/>
      <c r="O55" s="153"/>
      <c r="P55" s="154"/>
      <c r="Q55" s="153"/>
      <c r="R55" s="153"/>
    </row>
    <row r="56" spans="1:18" x14ac:dyDescent="0.25">
      <c r="A56" s="410"/>
      <c r="B56" s="295" t="s">
        <v>18</v>
      </c>
      <c r="C56" s="295"/>
      <c r="D56" s="295"/>
      <c r="E56" s="295"/>
      <c r="F56" s="295"/>
      <c r="G56" s="295"/>
      <c r="H56" s="295"/>
      <c r="I56" s="490" t="s">
        <v>607</v>
      </c>
      <c r="J56" s="490"/>
      <c r="K56" s="293"/>
      <c r="L56" s="294"/>
      <c r="M56" s="295"/>
      <c r="N56" s="141"/>
      <c r="O56" s="153"/>
      <c r="P56" s="154"/>
      <c r="Q56" s="153"/>
      <c r="R56" s="153"/>
    </row>
    <row r="57" spans="1:18" x14ac:dyDescent="0.25">
      <c r="A57" s="411"/>
      <c r="B57" s="295" t="s">
        <v>19</v>
      </c>
      <c r="C57" s="295"/>
      <c r="D57" s="295"/>
      <c r="E57" s="295"/>
      <c r="F57" s="295"/>
      <c r="G57" s="295"/>
      <c r="H57" s="295"/>
      <c r="I57" s="490" t="s">
        <v>608</v>
      </c>
      <c r="J57" s="490"/>
      <c r="K57" s="293"/>
      <c r="L57" s="294"/>
      <c r="M57" s="295"/>
      <c r="N57" s="141"/>
      <c r="O57" s="153"/>
      <c r="P57" s="154"/>
      <c r="Q57" s="153"/>
      <c r="R57" s="153"/>
    </row>
    <row r="58" spans="1:18" x14ac:dyDescent="0.25">
      <c r="A58" s="411"/>
      <c r="B58" s="295" t="s">
        <v>345</v>
      </c>
      <c r="C58" s="295"/>
      <c r="D58" s="295"/>
      <c r="E58" s="295"/>
      <c r="F58" s="295"/>
      <c r="G58" s="295"/>
      <c r="H58" s="295"/>
      <c r="I58" s="490" t="s">
        <v>609</v>
      </c>
      <c r="J58" s="490"/>
      <c r="K58" s="293"/>
      <c r="L58" s="294"/>
      <c r="M58" s="295"/>
      <c r="N58" s="141"/>
      <c r="O58" s="153"/>
      <c r="P58" s="154"/>
      <c r="Q58" s="153"/>
      <c r="R58" s="153"/>
    </row>
    <row r="59" spans="1:18" x14ac:dyDescent="0.25">
      <c r="A59" s="411"/>
      <c r="B59" s="295" t="s">
        <v>344</v>
      </c>
      <c r="C59" s="295"/>
      <c r="D59" s="295"/>
      <c r="E59" s="295"/>
      <c r="F59" s="295"/>
      <c r="G59" s="295"/>
      <c r="H59" s="295"/>
      <c r="I59" s="490">
        <v>90806</v>
      </c>
      <c r="J59" s="490"/>
      <c r="K59" s="293"/>
      <c r="L59" s="116"/>
      <c r="M59" s="295"/>
      <c r="N59" s="141"/>
      <c r="O59" s="153"/>
      <c r="P59" s="154"/>
      <c r="Q59" s="153"/>
      <c r="R59" s="153"/>
    </row>
    <row r="60" spans="1:18" ht="14.45" customHeight="1" x14ac:dyDescent="0.25">
      <c r="A60" s="411"/>
      <c r="B60" s="295" t="s">
        <v>20</v>
      </c>
      <c r="C60" s="295"/>
      <c r="D60" s="295"/>
      <c r="E60" s="295"/>
      <c r="F60" s="295"/>
      <c r="G60" s="295"/>
      <c r="H60" s="295"/>
      <c r="I60" s="490" t="s">
        <v>610</v>
      </c>
      <c r="J60" s="490"/>
      <c r="K60" s="293"/>
      <c r="L60" s="483" t="s">
        <v>356</v>
      </c>
      <c r="M60" s="484"/>
      <c r="N60" s="379" t="s">
        <v>355</v>
      </c>
      <c r="O60" s="153"/>
      <c r="P60" s="154"/>
      <c r="Q60" s="153"/>
      <c r="R60" s="153"/>
    </row>
    <row r="61" spans="1:18" x14ac:dyDescent="0.25">
      <c r="A61" s="411"/>
      <c r="B61" s="295" t="s">
        <v>21</v>
      </c>
      <c r="C61" s="295"/>
      <c r="D61" s="295"/>
      <c r="E61" s="295"/>
      <c r="F61" s="295"/>
      <c r="G61" s="295"/>
      <c r="H61" s="295"/>
      <c r="I61" s="490" t="s">
        <v>612</v>
      </c>
      <c r="J61" s="490"/>
      <c r="K61" s="402" t="s">
        <v>297</v>
      </c>
      <c r="L61" s="431"/>
      <c r="M61" s="432" t="s">
        <v>22</v>
      </c>
      <c r="N61" s="379" t="s">
        <v>23</v>
      </c>
      <c r="O61" s="153"/>
      <c r="P61" s="154"/>
      <c r="Q61" s="153"/>
      <c r="R61" s="153"/>
    </row>
    <row r="62" spans="1:18" x14ac:dyDescent="0.25">
      <c r="A62" s="411"/>
      <c r="B62" s="295" t="s">
        <v>390</v>
      </c>
      <c r="C62" s="295"/>
      <c r="D62" s="295"/>
      <c r="E62" s="295"/>
      <c r="F62" s="295"/>
      <c r="G62" s="295"/>
      <c r="H62" s="295"/>
      <c r="I62" s="490" t="s">
        <v>611</v>
      </c>
      <c r="J62" s="490"/>
      <c r="K62" s="402" t="s">
        <v>297</v>
      </c>
      <c r="L62" s="431"/>
      <c r="M62" s="432" t="s">
        <v>24</v>
      </c>
      <c r="N62" s="379" t="s">
        <v>25</v>
      </c>
      <c r="O62" s="153"/>
      <c r="P62" s="154"/>
      <c r="Q62" s="153"/>
      <c r="R62" s="153"/>
    </row>
    <row r="63" spans="1:18" x14ac:dyDescent="0.25">
      <c r="A63" s="411"/>
      <c r="B63" s="295"/>
      <c r="C63" s="295"/>
      <c r="D63" s="295"/>
      <c r="E63" s="295"/>
      <c r="F63" s="295"/>
      <c r="G63" s="295"/>
      <c r="H63" s="295"/>
      <c r="I63" s="138"/>
      <c r="J63" s="138"/>
      <c r="K63" s="293"/>
      <c r="L63" s="295"/>
      <c r="M63" s="295"/>
      <c r="N63" s="379"/>
      <c r="O63" s="153"/>
      <c r="P63" s="154"/>
      <c r="Q63" s="153"/>
      <c r="R63" s="153"/>
    </row>
    <row r="64" spans="1:18" ht="13.15" customHeight="1" x14ac:dyDescent="0.25">
      <c r="A64" s="411"/>
      <c r="B64" s="295"/>
      <c r="C64" s="295"/>
      <c r="D64" s="295"/>
      <c r="E64" s="295"/>
      <c r="F64" s="295"/>
      <c r="G64" s="295"/>
      <c r="H64" s="295"/>
      <c r="I64" s="183" t="s">
        <v>26</v>
      </c>
      <c r="J64" s="183" t="s">
        <v>346</v>
      </c>
      <c r="K64" s="403"/>
      <c r="L64" s="430"/>
      <c r="M64" s="433"/>
      <c r="N64" s="379"/>
      <c r="O64" s="153"/>
      <c r="P64" s="154"/>
      <c r="Q64" s="153"/>
      <c r="R64" s="153"/>
    </row>
    <row r="65" spans="1:18" x14ac:dyDescent="0.25">
      <c r="A65" s="411"/>
      <c r="B65" s="546" t="s">
        <v>27</v>
      </c>
      <c r="C65" s="294"/>
      <c r="D65" s="294" t="s">
        <v>28</v>
      </c>
      <c r="E65" s="294"/>
      <c r="F65" s="294"/>
      <c r="G65" s="294"/>
      <c r="H65" s="294"/>
      <c r="I65" s="92" t="s">
        <v>29</v>
      </c>
      <c r="J65" s="93">
        <v>0.95</v>
      </c>
      <c r="K65" s="402" t="s">
        <v>297</v>
      </c>
      <c r="L65" s="431"/>
      <c r="M65" s="432" t="s">
        <v>30</v>
      </c>
      <c r="N65" s="379" t="s">
        <v>31</v>
      </c>
      <c r="O65" s="153"/>
      <c r="P65" s="154"/>
      <c r="Q65" s="153"/>
      <c r="R65" s="153"/>
    </row>
    <row r="66" spans="1:18" ht="15" customHeight="1" x14ac:dyDescent="0.2">
      <c r="A66" s="411"/>
      <c r="B66" s="546"/>
      <c r="C66" s="294"/>
      <c r="D66" s="294" t="s">
        <v>32</v>
      </c>
      <c r="E66" s="294"/>
      <c r="F66" s="294"/>
      <c r="G66" s="294"/>
      <c r="H66" s="294"/>
      <c r="I66" s="92" t="s">
        <v>171</v>
      </c>
      <c r="J66" s="94">
        <v>0.05</v>
      </c>
      <c r="K66" s="402" t="s">
        <v>297</v>
      </c>
      <c r="L66" s="23"/>
      <c r="M66" s="432" t="s">
        <v>34</v>
      </c>
      <c r="N66" s="380" t="s">
        <v>35</v>
      </c>
      <c r="O66" s="153"/>
      <c r="P66" s="154"/>
      <c r="Q66" s="153"/>
      <c r="R66" s="153"/>
    </row>
    <row r="67" spans="1:18" ht="15" customHeight="1" x14ac:dyDescent="0.2">
      <c r="A67" s="411"/>
      <c r="B67" s="546"/>
      <c r="C67" s="294"/>
      <c r="D67" s="294" t="s">
        <v>32</v>
      </c>
      <c r="E67" s="294"/>
      <c r="F67" s="294"/>
      <c r="G67" s="294"/>
      <c r="H67" s="294"/>
      <c r="I67" s="92"/>
      <c r="J67" s="94"/>
      <c r="K67" s="402" t="s">
        <v>297</v>
      </c>
      <c r="L67" s="431"/>
      <c r="M67" s="432" t="s">
        <v>343</v>
      </c>
      <c r="N67" s="380" t="s">
        <v>342</v>
      </c>
      <c r="O67" s="153"/>
      <c r="P67" s="154"/>
      <c r="Q67" s="153"/>
      <c r="R67" s="153"/>
    </row>
    <row r="68" spans="1:18" x14ac:dyDescent="0.25">
      <c r="A68" s="411"/>
      <c r="B68" s="295"/>
      <c r="C68" s="295"/>
      <c r="D68" s="295"/>
      <c r="E68" s="295"/>
      <c r="F68" s="295"/>
      <c r="G68" s="295"/>
      <c r="H68" s="295"/>
      <c r="I68" s="184"/>
      <c r="J68" s="185">
        <f>SUM(J65:J67)</f>
        <v>1</v>
      </c>
      <c r="K68" s="502" t="s">
        <v>37</v>
      </c>
      <c r="L68" s="502"/>
      <c r="M68" s="502"/>
      <c r="N68" s="141"/>
      <c r="O68" s="153"/>
      <c r="P68" s="154"/>
      <c r="Q68" s="153"/>
      <c r="R68" s="153"/>
    </row>
    <row r="69" spans="1:18" x14ac:dyDescent="0.25">
      <c r="A69" s="411"/>
      <c r="B69" s="295"/>
      <c r="C69" s="295"/>
      <c r="D69" s="295"/>
      <c r="E69" s="295"/>
      <c r="F69" s="295"/>
      <c r="G69" s="295"/>
      <c r="H69" s="295"/>
      <c r="I69" s="184"/>
      <c r="J69" s="185"/>
      <c r="K69" s="434"/>
      <c r="L69" s="296"/>
      <c r="M69" s="296"/>
      <c r="N69" s="141"/>
      <c r="O69" s="153"/>
      <c r="P69" s="154"/>
      <c r="Q69" s="153"/>
      <c r="R69" s="153"/>
    </row>
    <row r="70" spans="1:18" x14ac:dyDescent="0.25">
      <c r="A70" s="411"/>
      <c r="B70" s="295" t="s">
        <v>368</v>
      </c>
      <c r="C70" s="295"/>
      <c r="D70" s="295"/>
      <c r="E70" s="295"/>
      <c r="F70" s="295"/>
      <c r="G70" s="295"/>
      <c r="H70" s="295"/>
      <c r="I70" s="496" t="s">
        <v>613</v>
      </c>
      <c r="J70" s="496"/>
      <c r="K70" s="402" t="s">
        <v>297</v>
      </c>
      <c r="L70" s="431"/>
      <c r="M70" s="295"/>
      <c r="N70" s="141"/>
      <c r="O70" s="153"/>
      <c r="P70" s="154"/>
      <c r="Q70" s="153"/>
      <c r="R70" s="153"/>
    </row>
    <row r="71" spans="1:18" x14ac:dyDescent="0.25">
      <c r="A71" s="411"/>
      <c r="B71" s="295" t="s">
        <v>38</v>
      </c>
      <c r="C71" s="295"/>
      <c r="D71" s="295"/>
      <c r="E71" s="295"/>
      <c r="F71" s="295"/>
      <c r="G71" s="295"/>
      <c r="H71" s="295"/>
      <c r="I71" s="490">
        <v>4</v>
      </c>
      <c r="J71" s="490"/>
      <c r="K71" s="435"/>
      <c r="L71" s="431"/>
      <c r="M71" s="295"/>
      <c r="N71" s="141"/>
      <c r="O71" s="153"/>
      <c r="P71" s="154"/>
      <c r="Q71" s="153"/>
      <c r="R71" s="153"/>
    </row>
    <row r="72" spans="1:18" ht="27.6" customHeight="1" x14ac:dyDescent="0.25">
      <c r="A72" s="411"/>
      <c r="B72" s="295" t="s">
        <v>304</v>
      </c>
      <c r="C72" s="295"/>
      <c r="D72" s="295"/>
      <c r="E72" s="295"/>
      <c r="F72" s="295"/>
      <c r="G72" s="295"/>
      <c r="H72" s="295"/>
      <c r="I72" s="514">
        <v>76535</v>
      </c>
      <c r="J72" s="514"/>
      <c r="K72" s="293" t="s">
        <v>39</v>
      </c>
      <c r="L72" s="425" t="s">
        <v>595</v>
      </c>
      <c r="M72" s="23"/>
      <c r="N72" s="141"/>
      <c r="O72" s="153"/>
      <c r="P72" s="154"/>
      <c r="Q72" s="153"/>
      <c r="R72" s="153"/>
    </row>
    <row r="73" spans="1:18" x14ac:dyDescent="0.25">
      <c r="A73" s="411"/>
      <c r="B73" s="295" t="s">
        <v>40</v>
      </c>
      <c r="C73" s="295"/>
      <c r="D73" s="295"/>
      <c r="E73" s="295"/>
      <c r="F73" s="295"/>
      <c r="G73" s="295"/>
      <c r="H73" s="295"/>
      <c r="I73" s="550">
        <v>35100</v>
      </c>
      <c r="J73" s="551"/>
      <c r="K73" s="293" t="s">
        <v>41</v>
      </c>
      <c r="L73" s="294"/>
      <c r="M73" s="295"/>
      <c r="N73" s="141"/>
      <c r="O73" s="153"/>
      <c r="P73" s="154"/>
      <c r="Q73" s="153"/>
      <c r="R73" s="153"/>
    </row>
    <row r="74" spans="1:18" x14ac:dyDescent="0.25">
      <c r="A74" s="411"/>
      <c r="B74" s="295" t="s">
        <v>320</v>
      </c>
      <c r="C74" s="295"/>
      <c r="D74" s="295"/>
      <c r="E74" s="295"/>
      <c r="F74" s="295"/>
      <c r="G74" s="295"/>
      <c r="H74" s="295"/>
      <c r="I74" s="554">
        <f>IFERROR(I72/I73,"")</f>
        <v>2.1804843304843304</v>
      </c>
      <c r="J74" s="554"/>
      <c r="K74" s="502" t="s">
        <v>42</v>
      </c>
      <c r="L74" s="502"/>
      <c r="M74" s="502"/>
      <c r="N74" s="141"/>
      <c r="O74" s="153"/>
      <c r="P74" s="154"/>
      <c r="Q74" s="153"/>
      <c r="R74" s="153"/>
    </row>
    <row r="75" spans="1:18" x14ac:dyDescent="0.25">
      <c r="A75" s="411"/>
      <c r="B75" s="295"/>
      <c r="C75" s="295"/>
      <c r="D75" s="295"/>
      <c r="E75" s="295"/>
      <c r="F75" s="295"/>
      <c r="G75" s="295"/>
      <c r="H75" s="295"/>
      <c r="I75" s="186"/>
      <c r="J75" s="186"/>
      <c r="K75" s="293"/>
      <c r="L75" s="294"/>
      <c r="M75" s="295"/>
      <c r="N75" s="381"/>
      <c r="O75" s="153"/>
      <c r="P75" s="154"/>
      <c r="Q75" s="153"/>
      <c r="R75" s="153"/>
    </row>
    <row r="76" spans="1:18" ht="45" x14ac:dyDescent="0.25">
      <c r="A76" s="428"/>
      <c r="B76" s="298" t="s">
        <v>300</v>
      </c>
      <c r="C76" s="298"/>
      <c r="D76" s="295"/>
      <c r="E76" s="295"/>
      <c r="F76" s="295"/>
      <c r="G76" s="295"/>
      <c r="H76" s="295"/>
      <c r="I76" s="158"/>
      <c r="J76" s="158"/>
      <c r="K76" s="293"/>
      <c r="L76" s="294"/>
      <c r="M76" s="295"/>
      <c r="N76" s="395" t="s">
        <v>592</v>
      </c>
      <c r="O76" s="153"/>
      <c r="P76" s="154"/>
      <c r="Q76" s="153"/>
      <c r="R76" s="153"/>
    </row>
    <row r="77" spans="1:18" x14ac:dyDescent="0.25">
      <c r="A77" s="411"/>
      <c r="B77" s="295" t="s">
        <v>43</v>
      </c>
      <c r="C77" s="295"/>
      <c r="D77" s="295"/>
      <c r="E77" s="295"/>
      <c r="F77" s="295"/>
      <c r="G77" s="295"/>
      <c r="H77" s="295"/>
      <c r="I77" s="490">
        <v>2022</v>
      </c>
      <c r="J77" s="490"/>
      <c r="K77" s="293"/>
      <c r="L77" s="294"/>
      <c r="M77" s="295"/>
      <c r="N77" s="141"/>
      <c r="O77" s="153"/>
      <c r="P77" s="154"/>
      <c r="Q77" s="153"/>
      <c r="R77" s="153"/>
    </row>
    <row r="78" spans="1:18" x14ac:dyDescent="0.25">
      <c r="A78" s="411"/>
      <c r="B78" s="295" t="s">
        <v>44</v>
      </c>
      <c r="C78" s="295"/>
      <c r="D78" s="295"/>
      <c r="E78" s="295"/>
      <c r="F78" s="295"/>
      <c r="G78" s="295"/>
      <c r="H78" s="295"/>
      <c r="I78" s="517">
        <v>25500000</v>
      </c>
      <c r="J78" s="517"/>
      <c r="K78" s="436" t="s">
        <v>45</v>
      </c>
      <c r="L78" s="437" t="s">
        <v>46</v>
      </c>
      <c r="M78" s="295"/>
      <c r="N78" s="141"/>
      <c r="O78" s="153"/>
      <c r="P78" s="154"/>
      <c r="Q78" s="153"/>
      <c r="R78" s="153"/>
    </row>
    <row r="79" spans="1:18" ht="13.15" customHeight="1" x14ac:dyDescent="0.25">
      <c r="A79" s="411"/>
      <c r="B79" s="295" t="s">
        <v>296</v>
      </c>
      <c r="C79" s="295"/>
      <c r="D79" s="295"/>
      <c r="E79" s="295"/>
      <c r="F79" s="295"/>
      <c r="G79" s="295"/>
      <c r="H79" s="295"/>
      <c r="I79" s="515">
        <f>IFERROR(I78/I72,"")</f>
        <v>333.18089762853594</v>
      </c>
      <c r="J79" s="516"/>
      <c r="K79" s="403" t="s">
        <v>281</v>
      </c>
      <c r="L79" s="430" t="s">
        <v>47</v>
      </c>
      <c r="M79" s="295"/>
      <c r="N79" s="141"/>
      <c r="O79" s="153"/>
      <c r="P79" s="154"/>
      <c r="Q79" s="153"/>
      <c r="R79" s="153"/>
    </row>
    <row r="80" spans="1:18" x14ac:dyDescent="0.25">
      <c r="A80" s="411"/>
      <c r="B80" s="295"/>
      <c r="C80" s="295"/>
      <c r="D80" s="295"/>
      <c r="E80" s="295"/>
      <c r="F80" s="295"/>
      <c r="G80" s="295"/>
      <c r="H80" s="295"/>
      <c r="I80" s="187"/>
      <c r="J80" s="187"/>
      <c r="K80" s="438"/>
      <c r="L80" s="437"/>
      <c r="M80" s="295"/>
      <c r="N80" s="382"/>
      <c r="O80" s="153"/>
      <c r="P80" s="154"/>
      <c r="Q80" s="153"/>
      <c r="R80" s="153"/>
    </row>
    <row r="81" spans="1:18" x14ac:dyDescent="0.25">
      <c r="A81" s="428"/>
      <c r="B81" s="298" t="s">
        <v>301</v>
      </c>
      <c r="C81" s="298"/>
      <c r="D81" s="295"/>
      <c r="E81" s="295"/>
      <c r="F81" s="295"/>
      <c r="G81" s="295"/>
      <c r="H81" s="295"/>
      <c r="I81" s="158"/>
      <c r="J81" s="158"/>
      <c r="K81" s="293"/>
      <c r="L81" s="439"/>
      <c r="M81" s="295"/>
      <c r="N81" s="141"/>
      <c r="O81" s="153"/>
      <c r="P81" s="154"/>
      <c r="Q81" s="153"/>
      <c r="R81" s="153"/>
    </row>
    <row r="82" spans="1:18" ht="40.15" customHeight="1" x14ac:dyDescent="0.25">
      <c r="A82" s="411"/>
      <c r="B82" s="295" t="s">
        <v>48</v>
      </c>
      <c r="C82" s="295"/>
      <c r="D82" s="295"/>
      <c r="E82" s="295"/>
      <c r="F82" s="295"/>
      <c r="G82" s="295"/>
      <c r="H82" s="295"/>
      <c r="I82" s="490">
        <v>168</v>
      </c>
      <c r="J82" s="490"/>
      <c r="K82" s="436" t="s">
        <v>282</v>
      </c>
      <c r="L82" s="425" t="s">
        <v>594</v>
      </c>
      <c r="M82" s="295"/>
      <c r="N82" s="141"/>
      <c r="O82" s="153"/>
      <c r="P82" s="154"/>
      <c r="Q82" s="153"/>
      <c r="R82" s="153"/>
    </row>
    <row r="83" spans="1:18" x14ac:dyDescent="0.25">
      <c r="A83" s="411"/>
      <c r="B83" s="295" t="s">
        <v>49</v>
      </c>
      <c r="C83" s="295"/>
      <c r="D83" s="295"/>
      <c r="E83" s="295"/>
      <c r="F83" s="295"/>
      <c r="G83" s="295"/>
      <c r="H83" s="295"/>
      <c r="I83" s="490">
        <v>72</v>
      </c>
      <c r="J83" s="490"/>
      <c r="K83" s="440" t="s">
        <v>50</v>
      </c>
      <c r="L83" s="437" t="s">
        <v>596</v>
      </c>
      <c r="M83" s="295"/>
      <c r="N83" s="141"/>
      <c r="O83" s="153"/>
      <c r="P83" s="154"/>
      <c r="Q83" s="153"/>
      <c r="R83" s="153"/>
    </row>
    <row r="84" spans="1:18" x14ac:dyDescent="0.2">
      <c r="A84" s="411"/>
      <c r="B84" s="295"/>
      <c r="C84" s="295"/>
      <c r="D84" s="295"/>
      <c r="E84" s="295"/>
      <c r="F84" s="295"/>
      <c r="G84" s="295"/>
      <c r="H84" s="295"/>
      <c r="I84" s="158"/>
      <c r="J84" s="158"/>
      <c r="K84" s="441"/>
      <c r="L84" s="442"/>
      <c r="M84" s="443"/>
      <c r="N84" s="383"/>
      <c r="O84" s="153"/>
      <c r="P84" s="154"/>
      <c r="Q84" s="153"/>
      <c r="R84" s="153"/>
    </row>
    <row r="85" spans="1:18" x14ac:dyDescent="0.25">
      <c r="A85" s="428"/>
      <c r="B85" s="298" t="s">
        <v>302</v>
      </c>
      <c r="C85" s="298"/>
      <c r="D85" s="295"/>
      <c r="E85" s="295"/>
      <c r="F85" s="295"/>
      <c r="G85" s="295"/>
      <c r="H85" s="295"/>
      <c r="I85" s="158"/>
      <c r="J85" s="158"/>
      <c r="K85" s="293"/>
      <c r="L85" s="294"/>
      <c r="M85" s="439"/>
      <c r="N85" s="141"/>
      <c r="O85" s="153"/>
      <c r="P85" s="154"/>
      <c r="Q85" s="153"/>
      <c r="R85" s="153"/>
    </row>
    <row r="86" spans="1:18" ht="13.15" customHeight="1" x14ac:dyDescent="0.25">
      <c r="A86" s="411"/>
      <c r="B86" s="295" t="s">
        <v>295</v>
      </c>
      <c r="C86" s="295"/>
      <c r="D86" s="295"/>
      <c r="E86" s="295"/>
      <c r="F86" s="295"/>
      <c r="G86" s="295"/>
      <c r="H86" s="295"/>
      <c r="I86" s="519">
        <f>IFERROR(VLOOKUP(I77,F288:G310,2,FALSE),"")</f>
        <v>0.8</v>
      </c>
      <c r="J86" s="519"/>
      <c r="K86" s="403" t="s">
        <v>51</v>
      </c>
      <c r="L86" s="430" t="s">
        <v>555</v>
      </c>
      <c r="M86" s="23"/>
      <c r="N86" s="379" t="s">
        <v>556</v>
      </c>
      <c r="O86" s="153"/>
      <c r="P86" s="154"/>
      <c r="Q86" s="153"/>
      <c r="R86" s="153"/>
    </row>
    <row r="87" spans="1:18" x14ac:dyDescent="0.25">
      <c r="A87" s="410"/>
      <c r="B87" s="295" t="s">
        <v>52</v>
      </c>
      <c r="C87" s="295"/>
      <c r="D87" s="295"/>
      <c r="E87" s="295"/>
      <c r="F87" s="295"/>
      <c r="G87" s="295"/>
      <c r="H87" s="295"/>
      <c r="I87" s="496" t="s">
        <v>614</v>
      </c>
      <c r="J87" s="496"/>
      <c r="K87" s="402" t="s">
        <v>297</v>
      </c>
      <c r="L87" s="483" t="s">
        <v>53</v>
      </c>
      <c r="M87" s="484"/>
      <c r="N87" s="379" t="s">
        <v>54</v>
      </c>
      <c r="O87" s="153"/>
      <c r="P87" s="154"/>
      <c r="Q87" s="153"/>
      <c r="R87" s="153"/>
    </row>
    <row r="88" spans="1:18" x14ac:dyDescent="0.25">
      <c r="A88" s="411"/>
      <c r="B88" s="295" t="s">
        <v>55</v>
      </c>
      <c r="C88" s="295"/>
      <c r="D88" s="295"/>
      <c r="E88" s="295"/>
      <c r="F88" s="295"/>
      <c r="G88" s="295"/>
      <c r="H88" s="295"/>
      <c r="I88" s="496" t="s">
        <v>614</v>
      </c>
      <c r="J88" s="496"/>
      <c r="K88" s="402" t="s">
        <v>297</v>
      </c>
      <c r="L88" s="431"/>
      <c r="M88" s="432" t="s">
        <v>56</v>
      </c>
      <c r="N88" s="379" t="s">
        <v>57</v>
      </c>
      <c r="O88" s="153"/>
      <c r="P88" s="154"/>
      <c r="Q88" s="153"/>
      <c r="R88" s="153"/>
    </row>
    <row r="89" spans="1:18" x14ac:dyDescent="0.25">
      <c r="A89" s="411"/>
      <c r="B89" s="429" t="s">
        <v>570</v>
      </c>
      <c r="C89" s="295"/>
      <c r="D89" s="295"/>
      <c r="E89" s="295"/>
      <c r="F89" s="295"/>
      <c r="G89" s="295"/>
      <c r="H89" s="295"/>
      <c r="I89" s="491" t="s">
        <v>614</v>
      </c>
      <c r="J89" s="492"/>
      <c r="K89" s="402" t="s">
        <v>297</v>
      </c>
      <c r="L89" s="431"/>
      <c r="M89" s="444"/>
      <c r="N89" s="379"/>
      <c r="O89" s="153"/>
      <c r="P89" s="154"/>
      <c r="Q89" s="153"/>
      <c r="R89" s="153"/>
    </row>
    <row r="90" spans="1:18" x14ac:dyDescent="0.25">
      <c r="A90" s="411"/>
      <c r="B90" s="295" t="s">
        <v>557</v>
      </c>
      <c r="C90" s="295"/>
      <c r="D90" s="295"/>
      <c r="E90" s="429"/>
      <c r="F90" s="429"/>
      <c r="G90" s="429"/>
      <c r="H90" s="429"/>
      <c r="I90" s="490" t="s">
        <v>615</v>
      </c>
      <c r="J90" s="490"/>
      <c r="K90" s="403"/>
      <c r="L90" s="413"/>
      <c r="M90" s="439"/>
      <c r="N90" s="141"/>
      <c r="O90" s="153"/>
      <c r="P90" s="154"/>
      <c r="Q90" s="153"/>
      <c r="R90" s="153"/>
    </row>
    <row r="91" spans="1:18" x14ac:dyDescent="0.25">
      <c r="A91" s="411"/>
      <c r="B91" s="295"/>
      <c r="C91" s="295"/>
      <c r="D91" s="295"/>
      <c r="E91" s="295"/>
      <c r="F91" s="295"/>
      <c r="G91" s="295"/>
      <c r="H91" s="295"/>
      <c r="I91" s="158"/>
      <c r="J91" s="158"/>
      <c r="K91" s="140"/>
      <c r="L91" s="139"/>
      <c r="M91" s="146"/>
      <c r="N91" s="141"/>
      <c r="O91" s="153"/>
      <c r="P91" s="154"/>
      <c r="Q91" s="153"/>
      <c r="R91" s="153"/>
    </row>
    <row r="92" spans="1:18" s="23" customFormat="1" ht="64.5" customHeight="1" x14ac:dyDescent="0.25">
      <c r="A92" s="299"/>
      <c r="B92" s="147"/>
      <c r="C92" s="301" t="s">
        <v>303</v>
      </c>
      <c r="D92" s="149"/>
      <c r="E92" s="150"/>
      <c r="F92" s="150"/>
      <c r="G92" s="150"/>
      <c r="H92" s="148"/>
      <c r="I92" s="509" t="s">
        <v>58</v>
      </c>
      <c r="J92" s="509"/>
      <c r="K92" s="509"/>
      <c r="L92" s="509"/>
      <c r="M92" s="151"/>
      <c r="N92" s="152" t="s">
        <v>393</v>
      </c>
      <c r="O92" s="303"/>
      <c r="P92" s="304"/>
      <c r="Q92" s="303"/>
      <c r="R92" s="303"/>
    </row>
    <row r="93" spans="1:18" x14ac:dyDescent="0.25">
      <c r="A93" s="188"/>
      <c r="B93" s="166"/>
      <c r="C93" s="166"/>
      <c r="D93" s="166"/>
      <c r="E93" s="166"/>
      <c r="F93" s="166"/>
      <c r="G93" s="166"/>
      <c r="H93" s="166"/>
      <c r="I93" s="175"/>
      <c r="J93" s="175"/>
      <c r="K93" s="164"/>
      <c r="L93" s="165"/>
      <c r="M93" s="166"/>
      <c r="N93" s="189"/>
      <c r="O93" s="153"/>
      <c r="P93" s="154"/>
      <c r="Q93" s="153"/>
      <c r="R93" s="153"/>
    </row>
    <row r="94" spans="1:18" s="179" customFormat="1" x14ac:dyDescent="0.25">
      <c r="A94" s="177"/>
      <c r="B94" s="136"/>
      <c r="C94" s="136"/>
      <c r="D94" s="137"/>
      <c r="E94" s="137"/>
      <c r="F94" s="137"/>
      <c r="G94" s="137"/>
      <c r="H94" s="137"/>
      <c r="I94" s="136"/>
      <c r="J94" s="136"/>
      <c r="K94" s="504" t="s">
        <v>13</v>
      </c>
      <c r="L94" s="504"/>
      <c r="M94" s="504"/>
      <c r="N94" s="377" t="s">
        <v>14</v>
      </c>
      <c r="O94" s="173"/>
      <c r="P94" s="178"/>
      <c r="Q94" s="173"/>
      <c r="R94" s="173"/>
    </row>
    <row r="95" spans="1:18" x14ac:dyDescent="0.25">
      <c r="A95" s="180"/>
      <c r="B95" s="499" t="s">
        <v>59</v>
      </c>
      <c r="C95" s="499"/>
      <c r="D95" s="499"/>
      <c r="E95" s="499"/>
      <c r="F95" s="499"/>
      <c r="G95" s="499"/>
      <c r="H95" s="499"/>
      <c r="I95" s="499"/>
      <c r="J95" s="499"/>
      <c r="K95" s="293"/>
      <c r="L95" s="295"/>
      <c r="M95" s="295"/>
      <c r="N95" s="155"/>
      <c r="O95" s="153"/>
      <c r="P95" s="154"/>
      <c r="Q95" s="153"/>
      <c r="R95" s="153"/>
    </row>
    <row r="96" spans="1:18" ht="130.15" customHeight="1" x14ac:dyDescent="0.25">
      <c r="A96" s="180"/>
      <c r="B96" s="493" t="s">
        <v>621</v>
      </c>
      <c r="C96" s="494"/>
      <c r="D96" s="494"/>
      <c r="E96" s="494"/>
      <c r="F96" s="494"/>
      <c r="G96" s="494"/>
      <c r="H96" s="494"/>
      <c r="I96" s="494"/>
      <c r="J96" s="495"/>
      <c r="K96" s="503" t="s">
        <v>391</v>
      </c>
      <c r="L96" s="503"/>
      <c r="M96" s="503"/>
      <c r="N96" s="155"/>
      <c r="O96" s="153"/>
      <c r="P96" s="154"/>
      <c r="Q96" s="153"/>
      <c r="R96" s="153"/>
    </row>
    <row r="97" spans="1:18" x14ac:dyDescent="0.25">
      <c r="A97" s="180"/>
      <c r="B97" s="138"/>
      <c r="C97" s="138"/>
      <c r="D97" s="138"/>
      <c r="E97" s="138"/>
      <c r="F97" s="138"/>
      <c r="G97" s="138"/>
      <c r="H97" s="138"/>
      <c r="I97" s="191"/>
      <c r="J97" s="191"/>
      <c r="K97" s="445"/>
      <c r="L97" s="446"/>
      <c r="M97" s="446"/>
      <c r="N97" s="155"/>
      <c r="O97" s="153"/>
      <c r="P97" s="154"/>
      <c r="Q97" s="153"/>
      <c r="R97" s="153"/>
    </row>
    <row r="98" spans="1:18" x14ac:dyDescent="0.25">
      <c r="A98" s="180"/>
      <c r="B98" s="499" t="s">
        <v>60</v>
      </c>
      <c r="C98" s="499"/>
      <c r="D98" s="499"/>
      <c r="E98" s="499"/>
      <c r="F98" s="499"/>
      <c r="G98" s="499"/>
      <c r="H98" s="499"/>
      <c r="I98" s="499"/>
      <c r="J98" s="499"/>
      <c r="K98" s="293"/>
      <c r="L98" s="295"/>
      <c r="M98" s="295"/>
      <c r="N98" s="155"/>
      <c r="O98" s="153"/>
      <c r="P98" s="154"/>
      <c r="Q98" s="153"/>
      <c r="R98" s="153"/>
    </row>
    <row r="99" spans="1:18" ht="130.15" customHeight="1" x14ac:dyDescent="0.25">
      <c r="A99" s="180"/>
      <c r="B99" s="493" t="s">
        <v>622</v>
      </c>
      <c r="C99" s="494"/>
      <c r="D99" s="494"/>
      <c r="E99" s="494"/>
      <c r="F99" s="494"/>
      <c r="G99" s="494"/>
      <c r="H99" s="494"/>
      <c r="I99" s="494"/>
      <c r="J99" s="495"/>
      <c r="K99" s="503" t="s">
        <v>559</v>
      </c>
      <c r="L99" s="503"/>
      <c r="M99" s="503"/>
      <c r="N99" s="155"/>
      <c r="O99" s="153"/>
      <c r="P99" s="154"/>
      <c r="Q99" s="153"/>
      <c r="R99" s="153"/>
    </row>
    <row r="100" spans="1:18" x14ac:dyDescent="0.25">
      <c r="A100" s="180"/>
      <c r="B100" s="138"/>
      <c r="C100" s="138"/>
      <c r="D100" s="138"/>
      <c r="E100" s="138"/>
      <c r="F100" s="138"/>
      <c r="G100" s="138"/>
      <c r="H100" s="138"/>
      <c r="I100" s="191"/>
      <c r="J100" s="191"/>
      <c r="K100" s="445"/>
      <c r="L100" s="446"/>
      <c r="M100" s="446"/>
      <c r="N100" s="155"/>
      <c r="O100" s="153"/>
      <c r="P100" s="154"/>
      <c r="Q100" s="153"/>
      <c r="R100" s="153"/>
    </row>
    <row r="101" spans="1:18" x14ac:dyDescent="0.25">
      <c r="A101" s="180"/>
      <c r="B101" s="499" t="s">
        <v>61</v>
      </c>
      <c r="C101" s="499"/>
      <c r="D101" s="499"/>
      <c r="E101" s="499"/>
      <c r="F101" s="499"/>
      <c r="G101" s="499"/>
      <c r="H101" s="499"/>
      <c r="I101" s="499"/>
      <c r="J101" s="499"/>
      <c r="K101" s="293"/>
      <c r="L101" s="295"/>
      <c r="M101" s="295"/>
      <c r="N101" s="155"/>
      <c r="O101" s="153"/>
      <c r="P101" s="154"/>
      <c r="Q101" s="153"/>
      <c r="R101" s="153"/>
    </row>
    <row r="102" spans="1:18" ht="130.15" customHeight="1" x14ac:dyDescent="0.25">
      <c r="A102" s="180"/>
      <c r="B102" s="493" t="s">
        <v>623</v>
      </c>
      <c r="C102" s="494"/>
      <c r="D102" s="494"/>
      <c r="E102" s="494"/>
      <c r="F102" s="494"/>
      <c r="G102" s="494"/>
      <c r="H102" s="494"/>
      <c r="I102" s="494"/>
      <c r="J102" s="495"/>
      <c r="K102" s="503" t="s">
        <v>597</v>
      </c>
      <c r="L102" s="503"/>
      <c r="M102" s="503"/>
      <c r="N102" s="155"/>
      <c r="O102" s="153"/>
      <c r="P102" s="154"/>
      <c r="Q102" s="153"/>
      <c r="R102" s="153"/>
    </row>
    <row r="103" spans="1:18" x14ac:dyDescent="0.25">
      <c r="A103" s="180"/>
      <c r="B103" s="138"/>
      <c r="C103" s="138"/>
      <c r="D103" s="138"/>
      <c r="E103" s="138"/>
      <c r="F103" s="138"/>
      <c r="G103" s="138"/>
      <c r="H103" s="138"/>
      <c r="I103" s="192"/>
      <c r="J103" s="192"/>
      <c r="K103" s="156"/>
      <c r="L103" s="157"/>
      <c r="M103" s="157"/>
      <c r="N103" s="155"/>
      <c r="O103" s="153"/>
      <c r="P103" s="154"/>
      <c r="Q103" s="153"/>
      <c r="R103" s="153"/>
    </row>
    <row r="104" spans="1:18" ht="65.099999999999994" customHeight="1" x14ac:dyDescent="0.25">
      <c r="A104" s="193"/>
      <c r="B104" s="147"/>
      <c r="C104" s="301" t="s">
        <v>305</v>
      </c>
      <c r="D104" s="149"/>
      <c r="E104" s="150"/>
      <c r="F104" s="150"/>
      <c r="G104" s="150"/>
      <c r="H104" s="148"/>
      <c r="I104" s="509" t="s">
        <v>62</v>
      </c>
      <c r="J104" s="509"/>
      <c r="K104" s="509"/>
      <c r="L104" s="509"/>
      <c r="M104" s="151"/>
      <c r="N104" s="152" t="s">
        <v>393</v>
      </c>
      <c r="O104" s="194" t="s">
        <v>369</v>
      </c>
      <c r="P104" s="195">
        <f>SUM(P107:P140)</f>
        <v>9.5</v>
      </c>
      <c r="Q104" s="173"/>
      <c r="R104" s="153"/>
    </row>
    <row r="105" spans="1:18" x14ac:dyDescent="0.25">
      <c r="A105" s="188"/>
      <c r="B105" s="166"/>
      <c r="C105" s="166"/>
      <c r="D105" s="166"/>
      <c r="E105" s="166"/>
      <c r="F105" s="166"/>
      <c r="G105" s="166"/>
      <c r="H105" s="166"/>
      <c r="I105" s="175"/>
      <c r="J105" s="175"/>
      <c r="K105" s="164"/>
      <c r="L105" s="165"/>
      <c r="M105" s="196"/>
      <c r="N105" s="189"/>
      <c r="O105" s="153"/>
      <c r="P105" s="154"/>
      <c r="Q105" s="173"/>
      <c r="R105" s="153"/>
    </row>
    <row r="106" spans="1:18" x14ac:dyDescent="0.25">
      <c r="A106" s="182"/>
      <c r="B106" s="138"/>
      <c r="C106" s="138"/>
      <c r="D106" s="138"/>
      <c r="E106" s="138"/>
      <c r="F106" s="138"/>
      <c r="G106" s="138"/>
      <c r="H106" s="138"/>
      <c r="I106" s="158"/>
      <c r="J106" s="158"/>
      <c r="K106" s="293"/>
      <c r="L106" s="294"/>
      <c r="M106" s="309"/>
      <c r="N106" s="155"/>
      <c r="O106" s="153"/>
      <c r="P106" s="154"/>
      <c r="Q106" s="173"/>
      <c r="R106" s="153"/>
    </row>
    <row r="107" spans="1:18" x14ac:dyDescent="0.25">
      <c r="A107" s="181"/>
      <c r="B107" s="298" t="s">
        <v>306</v>
      </c>
      <c r="C107" s="298"/>
      <c r="D107" s="295"/>
      <c r="E107" s="295"/>
      <c r="F107" s="295"/>
      <c r="G107" s="138"/>
      <c r="H107" s="138"/>
      <c r="I107" s="136" t="s">
        <v>12</v>
      </c>
      <c r="J107" s="136"/>
      <c r="K107" s="504" t="s">
        <v>13</v>
      </c>
      <c r="L107" s="504"/>
      <c r="M107" s="504"/>
      <c r="N107" s="377" t="s">
        <v>14</v>
      </c>
      <c r="O107" s="153"/>
      <c r="P107" s="154"/>
      <c r="Q107" s="173"/>
      <c r="R107" s="153"/>
    </row>
    <row r="108" spans="1:18" x14ac:dyDescent="0.25">
      <c r="A108" s="180"/>
      <c r="B108" s="295" t="s">
        <v>63</v>
      </c>
      <c r="C108" s="295"/>
      <c r="D108" s="413"/>
      <c r="E108" s="412"/>
      <c r="F108" s="412"/>
      <c r="G108" s="197"/>
      <c r="H108" s="397"/>
      <c r="I108" s="491" t="s">
        <v>517</v>
      </c>
      <c r="J108" s="492"/>
      <c r="K108" s="402" t="s">
        <v>297</v>
      </c>
      <c r="L108" s="431"/>
      <c r="M108" s="432"/>
      <c r="N108" s="379" t="s">
        <v>566</v>
      </c>
      <c r="O108" s="153"/>
      <c r="P108" s="154">
        <f>VLOOKUP(I108,Dropdowns!H2:I9,2,FALSE)</f>
        <v>1.5</v>
      </c>
      <c r="Q108" s="153"/>
      <c r="R108" s="153"/>
    </row>
    <row r="109" spans="1:18" x14ac:dyDescent="0.25">
      <c r="A109" s="180"/>
      <c r="B109" s="295"/>
      <c r="C109" s="295"/>
      <c r="D109" s="295"/>
      <c r="E109" s="295"/>
      <c r="F109" s="295"/>
      <c r="G109" s="138"/>
      <c r="H109" s="138"/>
      <c r="I109" s="197"/>
      <c r="J109" s="197"/>
      <c r="K109" s="447"/>
      <c r="L109" s="413"/>
      <c r="M109" s="448"/>
      <c r="N109" s="384"/>
      <c r="O109" s="153"/>
      <c r="P109" s="154"/>
      <c r="Q109" s="153"/>
      <c r="R109" s="153"/>
    </row>
    <row r="110" spans="1:18" x14ac:dyDescent="0.25">
      <c r="A110" s="180"/>
      <c r="B110" s="138" t="s">
        <v>464</v>
      </c>
      <c r="C110" s="138"/>
      <c r="D110" s="138"/>
      <c r="E110" s="138"/>
      <c r="F110" s="138"/>
      <c r="G110" s="138"/>
      <c r="H110" s="138"/>
      <c r="I110" s="138"/>
      <c r="J110" s="138"/>
      <c r="K110" s="293"/>
      <c r="L110" s="295"/>
      <c r="M110" s="309"/>
      <c r="N110" s="155"/>
      <c r="O110" s="153"/>
      <c r="P110" s="154"/>
      <c r="Q110" s="153"/>
      <c r="R110" s="153"/>
    </row>
    <row r="111" spans="1:18" ht="60" customHeight="1" x14ac:dyDescent="0.25">
      <c r="A111" s="180"/>
      <c r="B111" s="493" t="s">
        <v>624</v>
      </c>
      <c r="C111" s="494"/>
      <c r="D111" s="494"/>
      <c r="E111" s="494"/>
      <c r="F111" s="494"/>
      <c r="G111" s="494"/>
      <c r="H111" s="494"/>
      <c r="I111" s="494"/>
      <c r="J111" s="495"/>
      <c r="K111" s="293"/>
      <c r="L111" s="487" t="s">
        <v>64</v>
      </c>
      <c r="M111" s="488"/>
      <c r="N111" s="155"/>
      <c r="O111" s="153"/>
      <c r="P111" s="154"/>
      <c r="Q111" s="153"/>
      <c r="R111" s="153"/>
    </row>
    <row r="112" spans="1:18" x14ac:dyDescent="0.25">
      <c r="A112" s="180"/>
      <c r="B112" s="138"/>
      <c r="C112" s="138"/>
      <c r="D112" s="138"/>
      <c r="E112" s="138"/>
      <c r="F112" s="138"/>
      <c r="G112" s="138"/>
      <c r="H112" s="138"/>
      <c r="I112" s="158"/>
      <c r="J112" s="158"/>
      <c r="K112" s="310"/>
      <c r="L112" s="311"/>
      <c r="M112" s="448"/>
      <c r="N112" s="155"/>
      <c r="O112" s="153"/>
      <c r="P112" s="154"/>
      <c r="Q112" s="153"/>
      <c r="R112" s="153"/>
    </row>
    <row r="113" spans="1:18" x14ac:dyDescent="0.25">
      <c r="A113" s="181"/>
      <c r="B113" s="298" t="s">
        <v>333</v>
      </c>
      <c r="C113" s="298"/>
      <c r="D113" s="295"/>
      <c r="E113" s="295"/>
      <c r="F113" s="295"/>
      <c r="G113" s="295"/>
      <c r="H113" s="295"/>
      <c r="I113" s="158"/>
      <c r="J113" s="158"/>
      <c r="K113" s="293"/>
      <c r="L113" s="294"/>
      <c r="M113" s="309"/>
      <c r="N113" s="155"/>
      <c r="O113" s="153"/>
      <c r="P113" s="154"/>
      <c r="Q113" s="153"/>
      <c r="R113" s="153"/>
    </row>
    <row r="114" spans="1:18" ht="12.75" customHeight="1" x14ac:dyDescent="0.25">
      <c r="A114" s="180"/>
      <c r="B114" s="461" t="s">
        <v>65</v>
      </c>
      <c r="C114" s="461"/>
      <c r="D114" s="461"/>
      <c r="E114" s="461"/>
      <c r="F114" s="461"/>
      <c r="G114" s="461"/>
      <c r="H114" s="461"/>
      <c r="I114" s="491" t="s">
        <v>614</v>
      </c>
      <c r="J114" s="492"/>
      <c r="K114" s="402" t="s">
        <v>297</v>
      </c>
      <c r="L114" s="485" t="s">
        <v>571</v>
      </c>
      <c r="M114" s="486"/>
      <c r="N114" s="155"/>
      <c r="O114" s="153"/>
      <c r="P114" s="154">
        <f>IF(I114="YES",1,0)</f>
        <v>1</v>
      </c>
      <c r="Q114" s="153"/>
      <c r="R114" s="153"/>
    </row>
    <row r="115" spans="1:18" ht="12.75" customHeight="1" x14ac:dyDescent="0.25">
      <c r="A115" s="180"/>
      <c r="B115" s="461" t="s">
        <v>410</v>
      </c>
      <c r="C115" s="461"/>
      <c r="D115" s="461"/>
      <c r="E115" s="461"/>
      <c r="F115" s="461"/>
      <c r="G115" s="461"/>
      <c r="H115" s="461"/>
      <c r="I115" s="491" t="s">
        <v>614</v>
      </c>
      <c r="J115" s="492"/>
      <c r="K115" s="402" t="s">
        <v>297</v>
      </c>
      <c r="L115" s="485" t="s">
        <v>413</v>
      </c>
      <c r="M115" s="486"/>
      <c r="N115" s="155"/>
      <c r="O115" s="153"/>
      <c r="P115" s="154">
        <f t="shared" ref="P115:P116" si="0">IF(I115="YES",1,0)</f>
        <v>1</v>
      </c>
      <c r="Q115" s="153"/>
      <c r="R115" s="153"/>
    </row>
    <row r="116" spans="1:18" ht="12.75" customHeight="1" x14ac:dyDescent="0.25">
      <c r="A116" s="180"/>
      <c r="B116" s="429" t="s">
        <v>469</v>
      </c>
      <c r="C116" s="429"/>
      <c r="D116" s="429"/>
      <c r="E116" s="429"/>
      <c r="F116" s="429"/>
      <c r="G116" s="429"/>
      <c r="H116" s="429"/>
      <c r="I116" s="491" t="s">
        <v>614</v>
      </c>
      <c r="J116" s="492"/>
      <c r="K116" s="402" t="s">
        <v>297</v>
      </c>
      <c r="L116" s="485" t="s">
        <v>412</v>
      </c>
      <c r="M116" s="486"/>
      <c r="N116" s="155"/>
      <c r="O116" s="153"/>
      <c r="P116" s="154">
        <f t="shared" si="0"/>
        <v>1</v>
      </c>
      <c r="Q116" s="153"/>
      <c r="R116" s="153"/>
    </row>
    <row r="117" spans="1:18" x14ac:dyDescent="0.25">
      <c r="A117" s="180"/>
      <c r="B117" s="429"/>
      <c r="C117" s="429"/>
      <c r="D117" s="429"/>
      <c r="E117" s="429"/>
      <c r="F117" s="429"/>
      <c r="G117" s="429"/>
      <c r="H117" s="429"/>
      <c r="I117" s="168"/>
      <c r="J117" s="168"/>
      <c r="K117" s="310"/>
      <c r="L117" s="311"/>
      <c r="M117" s="448"/>
      <c r="N117" s="384"/>
      <c r="O117" s="153"/>
      <c r="P117" s="154"/>
      <c r="Q117" s="153"/>
      <c r="R117" s="153"/>
    </row>
    <row r="118" spans="1:18" x14ac:dyDescent="0.25">
      <c r="A118" s="180"/>
      <c r="B118" s="520" t="s">
        <v>298</v>
      </c>
      <c r="C118" s="520"/>
      <c r="D118" s="520"/>
      <c r="E118" s="351"/>
      <c r="F118" s="351"/>
      <c r="G118" s="351"/>
      <c r="H118" s="352"/>
      <c r="I118" s="138"/>
      <c r="J118" s="138"/>
      <c r="K118" s="450"/>
      <c r="L118" s="451"/>
      <c r="M118" s="452"/>
      <c r="N118" s="155"/>
      <c r="O118" s="153"/>
      <c r="P118" s="154"/>
      <c r="Q118" s="153"/>
      <c r="R118" s="153"/>
    </row>
    <row r="119" spans="1:18" ht="60" customHeight="1" x14ac:dyDescent="0.25">
      <c r="A119" s="180"/>
      <c r="B119" s="493" t="s">
        <v>625</v>
      </c>
      <c r="C119" s="494"/>
      <c r="D119" s="494"/>
      <c r="E119" s="494"/>
      <c r="F119" s="494"/>
      <c r="G119" s="494"/>
      <c r="H119" s="494"/>
      <c r="I119" s="494"/>
      <c r="J119" s="495"/>
      <c r="K119" s="450"/>
      <c r="L119" s="453"/>
      <c r="M119" s="452"/>
      <c r="N119" s="155"/>
      <c r="O119" s="153"/>
      <c r="P119" s="154"/>
      <c r="Q119" s="153"/>
      <c r="R119" s="153"/>
    </row>
    <row r="120" spans="1:18" x14ac:dyDescent="0.25">
      <c r="A120" s="180"/>
      <c r="B120" s="138"/>
      <c r="C120" s="138"/>
      <c r="D120" s="138"/>
      <c r="E120" s="138"/>
      <c r="F120" s="138"/>
      <c r="G120" s="138"/>
      <c r="H120" s="138"/>
      <c r="I120" s="158"/>
      <c r="J120" s="158"/>
      <c r="K120" s="293"/>
      <c r="L120" s="294"/>
      <c r="M120" s="446"/>
      <c r="N120" s="155"/>
      <c r="O120" s="153"/>
      <c r="P120" s="154"/>
      <c r="Q120" s="153"/>
      <c r="R120" s="153"/>
    </row>
    <row r="121" spans="1:18" x14ac:dyDescent="0.25">
      <c r="A121" s="181"/>
      <c r="B121" s="298" t="s">
        <v>411</v>
      </c>
      <c r="C121" s="298"/>
      <c r="D121" s="295"/>
      <c r="E121" s="295"/>
      <c r="F121" s="295"/>
      <c r="G121" s="295"/>
      <c r="H121" s="295"/>
      <c r="I121" s="158"/>
      <c r="J121" s="158"/>
      <c r="K121" s="293"/>
      <c r="L121" s="294"/>
      <c r="M121" s="295"/>
      <c r="N121" s="155"/>
      <c r="O121" s="153"/>
      <c r="P121" s="154"/>
      <c r="Q121" s="153"/>
      <c r="R121" s="153"/>
    </row>
    <row r="122" spans="1:18" s="200" customFormat="1" ht="13.9" customHeight="1" x14ac:dyDescent="0.2">
      <c r="A122" s="198"/>
      <c r="B122" s="312" t="s">
        <v>414</v>
      </c>
      <c r="C122" s="312"/>
      <c r="D122" s="312"/>
      <c r="E122" s="312"/>
      <c r="F122" s="312"/>
      <c r="G122" s="312"/>
      <c r="H122" s="312"/>
      <c r="I122" s="491" t="s">
        <v>614</v>
      </c>
      <c r="J122" s="492"/>
      <c r="K122" s="402" t="s">
        <v>297</v>
      </c>
      <c r="L122" s="312"/>
      <c r="M122" s="454"/>
      <c r="N122" s="385"/>
      <c r="O122" s="199"/>
      <c r="P122" s="154">
        <f>IF(I122="YES",1,0)</f>
        <v>1</v>
      </c>
      <c r="Q122" s="199"/>
      <c r="R122" s="199"/>
    </row>
    <row r="123" spans="1:18" s="200" customFormat="1" ht="13.9" customHeight="1" x14ac:dyDescent="0.2">
      <c r="A123" s="198"/>
      <c r="B123" s="312" t="s">
        <v>416</v>
      </c>
      <c r="C123" s="312"/>
      <c r="D123" s="312"/>
      <c r="E123" s="312"/>
      <c r="F123" s="312"/>
      <c r="G123" s="312"/>
      <c r="H123" s="312"/>
      <c r="I123" s="491" t="s">
        <v>614</v>
      </c>
      <c r="J123" s="492"/>
      <c r="K123" s="402" t="s">
        <v>297</v>
      </c>
      <c r="L123" s="312"/>
      <c r="M123" s="454"/>
      <c r="N123" s="385"/>
      <c r="O123" s="199"/>
      <c r="P123" s="154">
        <f>IF(I123="YES",1,0)</f>
        <v>1</v>
      </c>
      <c r="Q123" s="199"/>
      <c r="R123" s="199"/>
    </row>
    <row r="124" spans="1:18" s="200" customFormat="1" ht="13.9" customHeight="1" x14ac:dyDescent="0.2">
      <c r="A124" s="198"/>
      <c r="B124" s="312" t="s">
        <v>415</v>
      </c>
      <c r="C124" s="312"/>
      <c r="D124" s="312"/>
      <c r="E124" s="312"/>
      <c r="F124" s="312"/>
      <c r="G124" s="312"/>
      <c r="H124" s="312"/>
      <c r="I124" s="158"/>
      <c r="J124" s="158"/>
      <c r="K124" s="455"/>
      <c r="L124" s="312"/>
      <c r="M124" s="454"/>
      <c r="N124" s="385"/>
      <c r="O124" s="199"/>
      <c r="P124" s="201"/>
      <c r="Q124" s="199"/>
      <c r="R124" s="199"/>
    </row>
    <row r="125" spans="1:18" s="200" customFormat="1" ht="13.9" customHeight="1" x14ac:dyDescent="0.2">
      <c r="A125" s="198"/>
      <c r="B125" s="312" t="s">
        <v>417</v>
      </c>
      <c r="C125" s="312"/>
      <c r="D125" s="312"/>
      <c r="E125" s="312"/>
      <c r="F125" s="312"/>
      <c r="G125" s="312"/>
      <c r="H125" s="312"/>
      <c r="I125" s="491" t="s">
        <v>614</v>
      </c>
      <c r="J125" s="492"/>
      <c r="K125" s="402" t="s">
        <v>297</v>
      </c>
      <c r="L125" s="312"/>
      <c r="M125" s="454"/>
      <c r="N125" s="385"/>
      <c r="O125" s="199"/>
      <c r="P125" s="154">
        <f>IF(I125="YES",1,0)</f>
        <v>1</v>
      </c>
      <c r="Q125" s="199"/>
      <c r="R125" s="199"/>
    </row>
    <row r="126" spans="1:18" s="200" customFormat="1" x14ac:dyDescent="0.2">
      <c r="A126" s="198"/>
      <c r="B126" s="312" t="s">
        <v>560</v>
      </c>
      <c r="C126" s="312"/>
      <c r="D126" s="312"/>
      <c r="E126" s="312"/>
      <c r="F126" s="312"/>
      <c r="G126" s="312"/>
      <c r="H126" s="312"/>
      <c r="I126" s="491" t="s">
        <v>614</v>
      </c>
      <c r="J126" s="492"/>
      <c r="K126" s="402" t="s">
        <v>297</v>
      </c>
      <c r="L126" s="456" t="s">
        <v>584</v>
      </c>
      <c r="M126" s="454"/>
      <c r="N126" s="385"/>
      <c r="O126" s="199"/>
      <c r="P126" s="154">
        <f>IF(I126="YES",1,0)</f>
        <v>1</v>
      </c>
      <c r="Q126" s="199"/>
      <c r="R126" s="199"/>
    </row>
    <row r="127" spans="1:18" s="200" customFormat="1" x14ac:dyDescent="0.2">
      <c r="A127" s="198"/>
      <c r="B127" s="312" t="s">
        <v>418</v>
      </c>
      <c r="C127" s="312"/>
      <c r="D127" s="312"/>
      <c r="E127" s="312"/>
      <c r="F127" s="312"/>
      <c r="G127" s="312"/>
      <c r="H127" s="312"/>
      <c r="I127" s="491" t="s">
        <v>614</v>
      </c>
      <c r="J127" s="492"/>
      <c r="K127" s="402" t="s">
        <v>297</v>
      </c>
      <c r="L127" s="479" t="s">
        <v>598</v>
      </c>
      <c r="M127" s="480"/>
      <c r="N127" s="386"/>
      <c r="O127" s="199"/>
      <c r="P127" s="154">
        <f>IF(I127="YES",1,0)</f>
        <v>1</v>
      </c>
      <c r="Q127" s="199"/>
      <c r="R127" s="199"/>
    </row>
    <row r="128" spans="1:18" x14ac:dyDescent="0.25">
      <c r="A128" s="180"/>
      <c r="B128" s="295"/>
      <c r="C128" s="295"/>
      <c r="D128" s="295"/>
      <c r="E128" s="295"/>
      <c r="F128" s="295"/>
      <c r="G128" s="295"/>
      <c r="H128" s="295"/>
      <c r="I128" s="138"/>
      <c r="J128" s="138"/>
      <c r="K128" s="457"/>
      <c r="L128" s="479"/>
      <c r="M128" s="480"/>
      <c r="N128" s="384"/>
      <c r="O128" s="153"/>
      <c r="P128" s="154"/>
      <c r="Q128" s="153"/>
      <c r="R128" s="153"/>
    </row>
    <row r="129" spans="1:18" ht="12.75" customHeight="1" x14ac:dyDescent="0.25">
      <c r="A129" s="180"/>
      <c r="B129" s="521" t="s">
        <v>561</v>
      </c>
      <c r="C129" s="521"/>
      <c r="D129" s="521"/>
      <c r="E129" s="521"/>
      <c r="F129" s="521"/>
      <c r="G129" s="521"/>
      <c r="H129" s="521"/>
      <c r="I129" s="521"/>
      <c r="J129" s="521"/>
      <c r="K129" s="457"/>
      <c r="L129" s="458"/>
      <c r="M129" s="439"/>
      <c r="N129" s="384"/>
      <c r="O129" s="153"/>
      <c r="P129" s="154"/>
      <c r="Q129" s="153"/>
      <c r="R129" s="153"/>
    </row>
    <row r="130" spans="1:18" ht="67.5" customHeight="1" x14ac:dyDescent="0.25">
      <c r="A130" s="180"/>
      <c r="B130" s="493" t="s">
        <v>626</v>
      </c>
      <c r="C130" s="494"/>
      <c r="D130" s="494"/>
      <c r="E130" s="494"/>
      <c r="F130" s="494"/>
      <c r="G130" s="494"/>
      <c r="H130" s="494"/>
      <c r="I130" s="494"/>
      <c r="J130" s="495"/>
      <c r="K130" s="459"/>
      <c r="L130" s="485" t="s">
        <v>421</v>
      </c>
      <c r="M130" s="486"/>
      <c r="N130" s="384"/>
      <c r="O130" s="153"/>
      <c r="P130" s="154"/>
      <c r="Q130" s="153"/>
      <c r="R130" s="153"/>
    </row>
    <row r="131" spans="1:18" x14ac:dyDescent="0.25">
      <c r="A131" s="160"/>
      <c r="B131" s="160"/>
      <c r="C131" s="160"/>
      <c r="D131" s="145"/>
      <c r="E131" s="160"/>
      <c r="F131" s="160"/>
      <c r="G131" s="160"/>
      <c r="H131" s="145"/>
      <c r="I131" s="160"/>
      <c r="J131" s="160"/>
      <c r="K131" s="434"/>
      <c r="L131" s="296"/>
      <c r="M131" s="296"/>
      <c r="N131" s="384"/>
      <c r="O131" s="153"/>
      <c r="P131" s="154"/>
      <c r="Q131" s="153"/>
      <c r="R131" s="153"/>
    </row>
    <row r="132" spans="1:18" x14ac:dyDescent="0.25">
      <c r="A132" s="160"/>
      <c r="B132" s="137" t="s">
        <v>419</v>
      </c>
      <c r="C132" s="298"/>
      <c r="D132" s="295"/>
      <c r="E132" s="295"/>
      <c r="F132" s="295"/>
      <c r="G132" s="295"/>
      <c r="H132" s="295"/>
      <c r="I132" s="160"/>
      <c r="J132" s="160"/>
      <c r="K132" s="434"/>
      <c r="L132" s="296"/>
      <c r="M132" s="296"/>
      <c r="N132" s="384"/>
      <c r="O132" s="153"/>
      <c r="P132" s="154"/>
      <c r="Q132" s="153"/>
      <c r="R132" s="153"/>
    </row>
    <row r="133" spans="1:18" ht="12.75" customHeight="1" x14ac:dyDescent="0.25">
      <c r="A133" s="160"/>
      <c r="B133" s="139" t="s">
        <v>420</v>
      </c>
      <c r="C133" s="294"/>
      <c r="D133" s="294"/>
      <c r="E133" s="319"/>
      <c r="F133" s="319"/>
      <c r="G133" s="319"/>
      <c r="H133" s="294"/>
      <c r="I133" s="552"/>
      <c r="J133" s="552"/>
      <c r="K133" s="459"/>
      <c r="L133" s="487" t="s">
        <v>585</v>
      </c>
      <c r="M133" s="488"/>
      <c r="N133" s="379" t="s">
        <v>564</v>
      </c>
      <c r="O133" s="153"/>
      <c r="P133" s="154"/>
      <c r="Q133" s="153"/>
      <c r="R133" s="153"/>
    </row>
    <row r="134" spans="1:18" ht="12.75" customHeight="1" x14ac:dyDescent="0.25">
      <c r="A134" s="160"/>
      <c r="B134" s="139" t="s">
        <v>528</v>
      </c>
      <c r="C134" s="314"/>
      <c r="D134" s="296"/>
      <c r="E134" s="314"/>
      <c r="F134" s="314"/>
      <c r="G134" s="314"/>
      <c r="H134" s="296"/>
      <c r="I134" s="553">
        <f>_xlfn.SINGLE(Embodied_Carbon_Total)</f>
        <v>2017000</v>
      </c>
      <c r="J134" s="553"/>
      <c r="K134" s="414" t="s">
        <v>525</v>
      </c>
      <c r="L134" s="487"/>
      <c r="M134" s="488"/>
      <c r="N134" s="379" t="s">
        <v>565</v>
      </c>
      <c r="O134" s="153"/>
      <c r="P134" s="154"/>
      <c r="Q134" s="153"/>
      <c r="R134" s="153"/>
    </row>
    <row r="135" spans="1:18" ht="12.75" customHeight="1" x14ac:dyDescent="0.25">
      <c r="A135" s="160"/>
      <c r="B135" s="139" t="s">
        <v>529</v>
      </c>
      <c r="C135" s="314"/>
      <c r="D135" s="296"/>
      <c r="E135" s="314"/>
      <c r="F135" s="314"/>
      <c r="G135" s="314"/>
      <c r="H135" s="296"/>
      <c r="I135" s="553">
        <f>(Operational_Carbon_Annual_Total)*10</f>
        <v>1892410.8234262164</v>
      </c>
      <c r="J135" s="553"/>
      <c r="K135" s="414" t="s">
        <v>525</v>
      </c>
      <c r="L135" s="487"/>
      <c r="M135" s="488"/>
      <c r="N135" s="384"/>
      <c r="O135" s="153"/>
      <c r="P135" s="154"/>
      <c r="Q135" s="153"/>
      <c r="R135" s="153"/>
    </row>
    <row r="136" spans="1:18" ht="12.75" customHeight="1" x14ac:dyDescent="0.25">
      <c r="A136" s="160"/>
      <c r="B136" s="139" t="s">
        <v>521</v>
      </c>
      <c r="C136" s="314"/>
      <c r="D136" s="296"/>
      <c r="E136" s="314"/>
      <c r="F136" s="314"/>
      <c r="G136" s="314"/>
      <c r="H136" s="296"/>
      <c r="I136" s="549">
        <v>190</v>
      </c>
      <c r="J136" s="549"/>
      <c r="K136" s="414" t="s">
        <v>526</v>
      </c>
      <c r="L136" s="487"/>
      <c r="M136" s="488"/>
      <c r="N136" s="384"/>
      <c r="O136" s="153"/>
      <c r="P136" s="154"/>
      <c r="Q136" s="153"/>
      <c r="R136" s="153"/>
    </row>
    <row r="137" spans="1:18" ht="12.75" customHeight="1" x14ac:dyDescent="0.25">
      <c r="A137" s="160"/>
      <c r="B137" s="139"/>
      <c r="C137" s="314"/>
      <c r="D137" s="296"/>
      <c r="E137" s="314"/>
      <c r="F137" s="314"/>
      <c r="G137" s="314"/>
      <c r="H137" s="296"/>
      <c r="I137" s="523">
        <v>0.19</v>
      </c>
      <c r="J137" s="523"/>
      <c r="K137" s="414" t="s">
        <v>527</v>
      </c>
      <c r="L137" s="487"/>
      <c r="M137" s="488"/>
      <c r="N137" s="384"/>
      <c r="O137" s="153"/>
      <c r="P137" s="154"/>
      <c r="Q137" s="153"/>
      <c r="R137" s="153"/>
    </row>
    <row r="138" spans="1:18" ht="12.75" customHeight="1" x14ac:dyDescent="0.25">
      <c r="A138" s="160"/>
      <c r="B138" s="398" t="s">
        <v>522</v>
      </c>
      <c r="C138" s="349"/>
      <c r="D138" s="350"/>
      <c r="E138" s="349"/>
      <c r="F138" s="349"/>
      <c r="G138" s="349"/>
      <c r="H138" s="350"/>
      <c r="I138" s="526" cm="1">
        <f t="array" ref="I138">IFERROR((Embodied_Carbon_Total+I135)*I137,0)</f>
        <v>742788.05645098106</v>
      </c>
      <c r="J138" s="526"/>
      <c r="K138" s="460" t="s">
        <v>527</v>
      </c>
      <c r="L138" s="487"/>
      <c r="M138" s="488"/>
      <c r="N138" s="384"/>
      <c r="O138" s="153"/>
      <c r="P138" s="154"/>
      <c r="Q138" s="153"/>
      <c r="R138" s="153"/>
    </row>
    <row r="139" spans="1:18" x14ac:dyDescent="0.25">
      <c r="A139" s="160"/>
      <c r="B139" s="398" t="s">
        <v>523</v>
      </c>
      <c r="C139" s="349"/>
      <c r="D139" s="350"/>
      <c r="E139" s="349"/>
      <c r="F139" s="349"/>
      <c r="G139" s="349"/>
      <c r="H139" s="350"/>
      <c r="I139" s="527">
        <f>IFERROR(I138/Area_Building,"")</f>
        <v>9.7052075057291578</v>
      </c>
      <c r="J139" s="527"/>
      <c r="K139" s="298" t="s">
        <v>524</v>
      </c>
      <c r="L139" s="487"/>
      <c r="M139" s="488"/>
      <c r="N139" s="384"/>
      <c r="O139" s="153"/>
      <c r="P139" s="154"/>
      <c r="Q139" s="153"/>
      <c r="R139" s="153"/>
    </row>
    <row r="140" spans="1:18" x14ac:dyDescent="0.25">
      <c r="A140" s="180"/>
      <c r="B140" s="295"/>
      <c r="C140" s="295"/>
      <c r="D140" s="295"/>
      <c r="E140" s="295"/>
      <c r="F140" s="295"/>
      <c r="G140" s="295"/>
      <c r="H140" s="295"/>
      <c r="I140" s="158"/>
      <c r="J140" s="158"/>
      <c r="K140" s="310"/>
      <c r="L140" s="311"/>
      <c r="M140" s="313"/>
      <c r="N140" s="384"/>
      <c r="O140" s="153"/>
      <c r="P140" s="154"/>
      <c r="Q140" s="153"/>
      <c r="R140" s="153"/>
    </row>
    <row r="141" spans="1:18" s="23" customFormat="1" ht="65.099999999999994" customHeight="1" x14ac:dyDescent="0.25">
      <c r="A141" s="305"/>
      <c r="B141" s="147"/>
      <c r="C141" s="301" t="s">
        <v>307</v>
      </c>
      <c r="D141" s="149"/>
      <c r="E141" s="150"/>
      <c r="F141" s="150"/>
      <c r="G141" s="150"/>
      <c r="H141" s="148"/>
      <c r="I141" s="534" t="s">
        <v>66</v>
      </c>
      <c r="J141" s="534"/>
      <c r="K141" s="534"/>
      <c r="L141" s="534"/>
      <c r="M141" s="147"/>
      <c r="N141" s="152" t="s">
        <v>393</v>
      </c>
      <c r="O141" s="306" t="s">
        <v>370</v>
      </c>
      <c r="P141" s="307">
        <f>SUM(P142:P154)</f>
        <v>6</v>
      </c>
      <c r="Q141" s="308"/>
      <c r="R141" s="303"/>
    </row>
    <row r="142" spans="1:18" x14ac:dyDescent="0.25">
      <c r="A142" s="408"/>
      <c r="B142" s="409"/>
      <c r="C142" s="409"/>
      <c r="D142" s="409"/>
      <c r="E142" s="409"/>
      <c r="F142" s="409"/>
      <c r="G142" s="409"/>
      <c r="H142" s="409"/>
      <c r="I142" s="175"/>
      <c r="J142" s="175"/>
      <c r="K142" s="399"/>
      <c r="L142" s="400"/>
      <c r="M142" s="401"/>
      <c r="N142" s="167"/>
      <c r="O142" s="153"/>
      <c r="P142" s="154"/>
      <c r="Q142" s="173"/>
      <c r="R142" s="153"/>
    </row>
    <row r="143" spans="1:18" x14ac:dyDescent="0.25">
      <c r="A143" s="410"/>
      <c r="B143" s="295"/>
      <c r="C143" s="295"/>
      <c r="D143" s="295"/>
      <c r="E143" s="295"/>
      <c r="F143" s="295"/>
      <c r="G143" s="295"/>
      <c r="H143" s="295"/>
      <c r="I143" s="136" t="s">
        <v>12</v>
      </c>
      <c r="J143" s="136"/>
      <c r="K143" s="504" t="s">
        <v>13</v>
      </c>
      <c r="L143" s="504"/>
      <c r="M143" s="504"/>
      <c r="N143" s="377" t="s">
        <v>14</v>
      </c>
      <c r="O143" s="153"/>
      <c r="P143" s="154"/>
      <c r="Q143" s="173"/>
      <c r="R143" s="153"/>
    </row>
    <row r="144" spans="1:18" ht="14.45" customHeight="1" x14ac:dyDescent="0.25">
      <c r="A144" s="411"/>
      <c r="B144" s="295" t="s">
        <v>308</v>
      </c>
      <c r="C144" s="295"/>
      <c r="D144" s="295"/>
      <c r="E144" s="295"/>
      <c r="F144" s="295"/>
      <c r="G144" s="295"/>
      <c r="H144" s="295"/>
      <c r="I144" s="491" t="s">
        <v>616</v>
      </c>
      <c r="J144" s="492"/>
      <c r="K144" s="402" t="s">
        <v>297</v>
      </c>
      <c r="L144" s="502" t="s">
        <v>67</v>
      </c>
      <c r="M144" s="508"/>
      <c r="N144" s="141"/>
      <c r="O144" s="153"/>
      <c r="P144" s="154"/>
      <c r="Q144" s="153"/>
      <c r="R144" s="153"/>
    </row>
    <row r="145" spans="1:18" ht="14.45" customHeight="1" x14ac:dyDescent="0.25">
      <c r="A145" s="411"/>
      <c r="B145" s="295" t="s">
        <v>293</v>
      </c>
      <c r="C145" s="295"/>
      <c r="D145" s="295"/>
      <c r="E145" s="295"/>
      <c r="F145" s="295"/>
      <c r="G145" s="295"/>
      <c r="H145" s="295"/>
      <c r="I145" s="491" t="s">
        <v>614</v>
      </c>
      <c r="J145" s="492"/>
      <c r="K145" s="402" t="s">
        <v>297</v>
      </c>
      <c r="L145" s="535" t="s">
        <v>572</v>
      </c>
      <c r="M145" s="536"/>
      <c r="N145" s="379"/>
      <c r="O145" s="153"/>
      <c r="P145" s="154">
        <f>IF(I145="YES",2,0)</f>
        <v>2</v>
      </c>
      <c r="Q145" s="153"/>
      <c r="R145" s="153"/>
    </row>
    <row r="146" spans="1:18" ht="14.45" customHeight="1" x14ac:dyDescent="0.25">
      <c r="A146" s="411"/>
      <c r="B146" s="295" t="s">
        <v>422</v>
      </c>
      <c r="C146" s="295"/>
      <c r="D146" s="295"/>
      <c r="E146" s="295"/>
      <c r="F146" s="295"/>
      <c r="G146" s="295"/>
      <c r="H146" s="295"/>
      <c r="I146" s="491" t="s">
        <v>614</v>
      </c>
      <c r="J146" s="492"/>
      <c r="K146" s="402" t="s">
        <v>297</v>
      </c>
      <c r="L146" s="502" t="s">
        <v>283</v>
      </c>
      <c r="M146" s="508"/>
      <c r="N146" s="379"/>
      <c r="O146" s="153"/>
      <c r="P146" s="154">
        <f>IF(I146="YES",2,0)</f>
        <v>2</v>
      </c>
      <c r="Q146" s="153"/>
      <c r="R146" s="153"/>
    </row>
    <row r="147" spans="1:18" ht="14.45" customHeight="1" x14ac:dyDescent="0.25">
      <c r="A147" s="411"/>
      <c r="B147" s="295" t="s">
        <v>389</v>
      </c>
      <c r="C147" s="295"/>
      <c r="D147" s="295"/>
      <c r="E147" s="295"/>
      <c r="F147" s="295"/>
      <c r="G147" s="295"/>
      <c r="H147" s="295"/>
      <c r="I147" s="544">
        <v>0.2</v>
      </c>
      <c r="J147" s="545"/>
      <c r="K147" s="402"/>
      <c r="L147" s="502"/>
      <c r="M147" s="508"/>
      <c r="N147" s="141"/>
      <c r="O147" s="153"/>
      <c r="P147" s="201">
        <f>IF(I147&lt;0.5,0,IF(I147&lt;0.75,1,2))</f>
        <v>0</v>
      </c>
      <c r="Q147" s="153"/>
      <c r="R147" s="153"/>
    </row>
    <row r="148" spans="1:18" ht="13.15" customHeight="1" x14ac:dyDescent="0.25">
      <c r="A148" s="411"/>
      <c r="B148" s="295" t="s">
        <v>294</v>
      </c>
      <c r="C148" s="295"/>
      <c r="D148" s="295"/>
      <c r="E148" s="295"/>
      <c r="F148" s="295"/>
      <c r="G148" s="295"/>
      <c r="H148" s="295"/>
      <c r="I148" s="491" t="s">
        <v>614</v>
      </c>
      <c r="J148" s="492"/>
      <c r="K148" s="402" t="s">
        <v>297</v>
      </c>
      <c r="L148" s="502" t="s">
        <v>68</v>
      </c>
      <c r="M148" s="508"/>
      <c r="N148" s="379" t="s">
        <v>338</v>
      </c>
      <c r="O148" s="153"/>
      <c r="P148" s="154">
        <f>IF(I148="YES",2,0)</f>
        <v>2</v>
      </c>
      <c r="Q148" s="153"/>
      <c r="R148" s="153"/>
    </row>
    <row r="149" spans="1:18" x14ac:dyDescent="0.25">
      <c r="A149" s="411"/>
      <c r="B149" s="412"/>
      <c r="C149" s="412"/>
      <c r="D149" s="413"/>
      <c r="E149" s="412"/>
      <c r="F149" s="412"/>
      <c r="G149" s="412"/>
      <c r="H149" s="413"/>
      <c r="I149" s="197"/>
      <c r="J149" s="197"/>
      <c r="K149" s="403"/>
      <c r="L149" s="502"/>
      <c r="M149" s="508"/>
      <c r="N149" s="379"/>
      <c r="O149" s="153"/>
      <c r="P149" s="154"/>
      <c r="Q149" s="153"/>
      <c r="R149" s="153"/>
    </row>
    <row r="150" spans="1:18" ht="13.15" customHeight="1" x14ac:dyDescent="0.25">
      <c r="A150" s="411"/>
      <c r="B150" s="295" t="s">
        <v>339</v>
      </c>
      <c r="C150" s="295"/>
      <c r="D150" s="295"/>
      <c r="E150" s="295"/>
      <c r="F150" s="295"/>
      <c r="G150" s="295"/>
      <c r="H150" s="295"/>
      <c r="I150" s="491" t="s">
        <v>617</v>
      </c>
      <c r="J150" s="492"/>
      <c r="K150" s="402" t="s">
        <v>297</v>
      </c>
      <c r="L150" s="487" t="s">
        <v>586</v>
      </c>
      <c r="M150" s="488"/>
      <c r="N150" s="379" t="s">
        <v>388</v>
      </c>
      <c r="O150" s="153"/>
      <c r="P150" s="154">
        <f>IF(I150="YES",2,0)</f>
        <v>0</v>
      </c>
      <c r="Q150" s="153"/>
      <c r="R150" s="153"/>
    </row>
    <row r="151" spans="1:18" ht="13.15" customHeight="1" x14ac:dyDescent="0.25">
      <c r="A151" s="411"/>
      <c r="B151" s="295" t="s">
        <v>341</v>
      </c>
      <c r="C151" s="295"/>
      <c r="D151" s="295"/>
      <c r="E151" s="295"/>
      <c r="F151" s="295"/>
      <c r="G151" s="295"/>
      <c r="H151" s="295"/>
      <c r="I151" s="491" t="s">
        <v>618</v>
      </c>
      <c r="J151" s="492"/>
      <c r="K151" s="402"/>
      <c r="L151" s="487"/>
      <c r="M151" s="488"/>
      <c r="N151" s="379" t="s">
        <v>340</v>
      </c>
      <c r="O151" s="153"/>
      <c r="P151" s="154"/>
      <c r="Q151" s="153"/>
      <c r="R151" s="153"/>
    </row>
    <row r="152" spans="1:18" x14ac:dyDescent="0.25">
      <c r="A152" s="411"/>
      <c r="B152" s="412"/>
      <c r="C152" s="412"/>
      <c r="D152" s="413"/>
      <c r="E152" s="412"/>
      <c r="F152" s="412"/>
      <c r="G152" s="412"/>
      <c r="H152" s="413"/>
      <c r="I152" s="197"/>
      <c r="J152" s="197"/>
      <c r="K152" s="403"/>
      <c r="L152" s="487"/>
      <c r="M152" s="488"/>
      <c r="N152" s="387"/>
      <c r="O152" s="153"/>
      <c r="P152" s="154"/>
      <c r="Q152" s="153"/>
      <c r="R152" s="153"/>
    </row>
    <row r="153" spans="1:18" x14ac:dyDescent="0.25">
      <c r="A153" s="411"/>
      <c r="B153" s="295" t="s">
        <v>69</v>
      </c>
      <c r="C153" s="295"/>
      <c r="D153" s="295"/>
      <c r="E153" s="414"/>
      <c r="F153" s="414"/>
      <c r="G153" s="414"/>
      <c r="H153" s="295"/>
      <c r="I153" s="138"/>
      <c r="J153" s="138"/>
      <c r="K153" s="403"/>
      <c r="L153" s="294"/>
      <c r="M153" s="404"/>
      <c r="N153" s="379"/>
      <c r="O153" s="153"/>
      <c r="P153" s="154"/>
      <c r="Q153" s="153"/>
      <c r="R153" s="153"/>
    </row>
    <row r="154" spans="1:18" ht="70.150000000000006" customHeight="1" x14ac:dyDescent="0.25">
      <c r="A154" s="180"/>
      <c r="B154" s="493" t="s">
        <v>627</v>
      </c>
      <c r="C154" s="494"/>
      <c r="D154" s="494"/>
      <c r="E154" s="494"/>
      <c r="F154" s="494"/>
      <c r="G154" s="494"/>
      <c r="H154" s="494"/>
      <c r="I154" s="494"/>
      <c r="J154" s="495"/>
      <c r="K154" s="547" t="s">
        <v>312</v>
      </c>
      <c r="L154" s="547"/>
      <c r="M154" s="548"/>
      <c r="N154" s="388"/>
      <c r="O154" s="153"/>
      <c r="P154" s="154"/>
      <c r="Q154" s="153"/>
      <c r="R154" s="153"/>
    </row>
    <row r="155" spans="1:18" x14ac:dyDescent="0.25">
      <c r="A155" s="180"/>
      <c r="B155" s="138"/>
      <c r="C155" s="138"/>
      <c r="D155" s="138"/>
      <c r="E155" s="138"/>
      <c r="F155" s="138"/>
      <c r="G155" s="138"/>
      <c r="H155" s="138"/>
      <c r="I155" s="158"/>
      <c r="J155" s="158"/>
      <c r="K155" s="405"/>
      <c r="L155" s="406"/>
      <c r="M155" s="407"/>
      <c r="N155" s="161"/>
      <c r="O155" s="153"/>
      <c r="P155" s="154"/>
      <c r="Q155" s="153"/>
      <c r="R155" s="153"/>
    </row>
    <row r="156" spans="1:18" s="23" customFormat="1" ht="65.099999999999994" customHeight="1" x14ac:dyDescent="0.25">
      <c r="A156" s="299"/>
      <c r="B156" s="147"/>
      <c r="C156" s="301" t="s">
        <v>309</v>
      </c>
      <c r="D156" s="149"/>
      <c r="E156" s="150"/>
      <c r="F156" s="150"/>
      <c r="G156" s="150"/>
      <c r="H156" s="148"/>
      <c r="I156" s="534" t="s">
        <v>70</v>
      </c>
      <c r="J156" s="534"/>
      <c r="K156" s="534"/>
      <c r="L156" s="534"/>
      <c r="M156" s="534"/>
      <c r="N156" s="152" t="s">
        <v>393</v>
      </c>
      <c r="O156" s="306" t="s">
        <v>371</v>
      </c>
      <c r="P156" s="307">
        <f>SUM(P157:P169)</f>
        <v>5</v>
      </c>
      <c r="Q156" s="315"/>
      <c r="R156" s="303"/>
    </row>
    <row r="157" spans="1:18" x14ac:dyDescent="0.25">
      <c r="A157" s="418"/>
      <c r="B157" s="409"/>
      <c r="C157" s="409"/>
      <c r="D157" s="409"/>
      <c r="E157" s="409"/>
      <c r="F157" s="409"/>
      <c r="G157" s="409"/>
      <c r="H157" s="409"/>
      <c r="I157" s="175"/>
      <c r="J157" s="175"/>
      <c r="K157" s="415"/>
      <c r="L157" s="416"/>
      <c r="M157" s="417"/>
      <c r="N157" s="204"/>
      <c r="O157" s="153"/>
      <c r="P157" s="154"/>
      <c r="Q157" s="153"/>
      <c r="R157" s="153"/>
    </row>
    <row r="158" spans="1:18" x14ac:dyDescent="0.25">
      <c r="A158" s="411"/>
      <c r="B158" s="295"/>
      <c r="C158" s="295"/>
      <c r="D158" s="295"/>
      <c r="E158" s="295"/>
      <c r="F158" s="295"/>
      <c r="G158" s="295"/>
      <c r="H158" s="295"/>
      <c r="I158" s="136" t="s">
        <v>12</v>
      </c>
      <c r="J158" s="136"/>
      <c r="K158" s="504" t="s">
        <v>13</v>
      </c>
      <c r="L158" s="504"/>
      <c r="M158" s="504"/>
      <c r="N158" s="377" t="s">
        <v>14</v>
      </c>
      <c r="O158" s="153"/>
      <c r="P158" s="154"/>
      <c r="Q158" s="153"/>
      <c r="R158" s="153"/>
    </row>
    <row r="159" spans="1:18" ht="13.15" customHeight="1" x14ac:dyDescent="0.25">
      <c r="A159" s="411"/>
      <c r="B159" s="295" t="s">
        <v>71</v>
      </c>
      <c r="C159" s="295"/>
      <c r="D159" s="295"/>
      <c r="E159" s="295"/>
      <c r="F159" s="295"/>
      <c r="G159" s="295"/>
      <c r="H159" s="295"/>
      <c r="I159" s="496" t="s">
        <v>614</v>
      </c>
      <c r="J159" s="496"/>
      <c r="K159" s="402" t="s">
        <v>297</v>
      </c>
      <c r="L159" s="485" t="s">
        <v>72</v>
      </c>
      <c r="M159" s="486"/>
      <c r="N159" s="141"/>
      <c r="O159" s="153"/>
      <c r="P159" s="154">
        <f>IF(I159="YES",(10/ROWS($I$159:$J$164)),0)</f>
        <v>1.6666666666666667</v>
      </c>
      <c r="Q159" s="153"/>
      <c r="R159" s="153"/>
    </row>
    <row r="160" spans="1:18" ht="13.15" customHeight="1" x14ac:dyDescent="0.25">
      <c r="A160" s="410"/>
      <c r="B160" s="295" t="s">
        <v>423</v>
      </c>
      <c r="C160" s="295"/>
      <c r="D160" s="295"/>
      <c r="E160" s="295"/>
      <c r="F160" s="295"/>
      <c r="G160" s="295"/>
      <c r="H160" s="295"/>
      <c r="I160" s="496" t="s">
        <v>614</v>
      </c>
      <c r="J160" s="496"/>
      <c r="K160" s="402" t="s">
        <v>297</v>
      </c>
      <c r="L160" s="530" t="s">
        <v>73</v>
      </c>
      <c r="M160" s="531"/>
      <c r="N160" s="141"/>
      <c r="O160" s="153"/>
      <c r="P160" s="154">
        <f>IF(I160="NO",(10/ROWS($I$159:$J$164)),0)</f>
        <v>0</v>
      </c>
      <c r="Q160" s="153"/>
      <c r="R160" s="153"/>
    </row>
    <row r="161" spans="1:18" ht="13.15" customHeight="1" x14ac:dyDescent="0.25">
      <c r="A161" s="410"/>
      <c r="B161" s="295" t="s">
        <v>75</v>
      </c>
      <c r="C161" s="295"/>
      <c r="D161" s="295"/>
      <c r="E161" s="295"/>
      <c r="F161" s="295"/>
      <c r="G161" s="295"/>
      <c r="H161" s="295"/>
      <c r="I161" s="496" t="s">
        <v>617</v>
      </c>
      <c r="J161" s="496"/>
      <c r="K161" s="402" t="s">
        <v>297</v>
      </c>
      <c r="L161" s="485" t="s">
        <v>76</v>
      </c>
      <c r="M161" s="486"/>
      <c r="N161" s="141"/>
      <c r="O161" s="153"/>
      <c r="P161" s="154">
        <f>IF(I161="YES",(10/ROWS($I$159:$J$164)),0)</f>
        <v>0</v>
      </c>
      <c r="Q161" s="153"/>
      <c r="R161" s="153"/>
    </row>
    <row r="162" spans="1:18" ht="31.15" customHeight="1" x14ac:dyDescent="0.2">
      <c r="A162" s="410"/>
      <c r="B162" s="462" t="s">
        <v>386</v>
      </c>
      <c r="C162" s="462"/>
      <c r="D162" s="295"/>
      <c r="E162" s="295"/>
      <c r="F162" s="295"/>
      <c r="G162" s="295"/>
      <c r="H162" s="295"/>
      <c r="I162" s="496" t="s">
        <v>614</v>
      </c>
      <c r="J162" s="496"/>
      <c r="K162" s="402" t="s">
        <v>297</v>
      </c>
      <c r="L162" s="487" t="s">
        <v>574</v>
      </c>
      <c r="M162" s="488"/>
      <c r="N162" s="395" t="s">
        <v>588</v>
      </c>
      <c r="O162" s="153"/>
      <c r="P162" s="154">
        <f>IF(I162="YES",(10/ROWS($I$159:$J$164)),0)</f>
        <v>1.6666666666666667</v>
      </c>
      <c r="Q162" s="153"/>
      <c r="R162" s="153"/>
    </row>
    <row r="163" spans="1:18" ht="13.15" customHeight="1" x14ac:dyDescent="0.25">
      <c r="A163" s="411"/>
      <c r="B163" s="295" t="s">
        <v>77</v>
      </c>
      <c r="C163" s="295"/>
      <c r="D163" s="295"/>
      <c r="E163" s="295"/>
      <c r="F163" s="295"/>
      <c r="G163" s="295"/>
      <c r="H163" s="295"/>
      <c r="I163" s="496" t="s">
        <v>617</v>
      </c>
      <c r="J163" s="496"/>
      <c r="K163" s="402" t="s">
        <v>297</v>
      </c>
      <c r="L163" s="485" t="s">
        <v>78</v>
      </c>
      <c r="M163" s="486"/>
      <c r="N163" s="141"/>
      <c r="O163" s="153"/>
      <c r="P163" s="154">
        <f>IF(I163="YES",(10/ROWS($I$159:$J$164)),0)</f>
        <v>0</v>
      </c>
      <c r="Q163" s="153"/>
      <c r="R163" s="153"/>
    </row>
    <row r="164" spans="1:18" ht="13.15" customHeight="1" x14ac:dyDescent="0.25">
      <c r="A164" s="411"/>
      <c r="B164" s="295" t="s">
        <v>536</v>
      </c>
      <c r="C164" s="295"/>
      <c r="D164" s="295"/>
      <c r="E164" s="295"/>
      <c r="F164" s="295"/>
      <c r="G164" s="295"/>
      <c r="H164" s="295"/>
      <c r="I164" s="496" t="s">
        <v>617</v>
      </c>
      <c r="J164" s="496"/>
      <c r="K164" s="402" t="s">
        <v>297</v>
      </c>
      <c r="L164" s="485"/>
      <c r="M164" s="486"/>
      <c r="N164" s="141"/>
      <c r="O164" s="153"/>
      <c r="P164" s="154">
        <f>IF(I164="NO",(10/ROWS($I$159:$J$164)),0)</f>
        <v>1.6666666666666667</v>
      </c>
      <c r="Q164" s="153"/>
      <c r="R164" s="153"/>
    </row>
    <row r="165" spans="1:18" ht="13.15" customHeight="1" x14ac:dyDescent="0.25">
      <c r="A165" s="410"/>
      <c r="B165" s="295" t="s">
        <v>573</v>
      </c>
      <c r="C165" s="295"/>
      <c r="D165" s="295"/>
      <c r="E165" s="295"/>
      <c r="F165" s="295"/>
      <c r="G165" s="295"/>
      <c r="H165" s="295"/>
      <c r="I165" s="496" t="s">
        <v>619</v>
      </c>
      <c r="J165" s="496"/>
      <c r="K165" s="402" t="s">
        <v>297</v>
      </c>
      <c r="L165" s="485"/>
      <c r="M165" s="486"/>
      <c r="N165" s="141"/>
      <c r="O165" s="153"/>
      <c r="P165" s="154">
        <f>IF(I165="Yes",(10/ROWS($I$159:$J$164)),0)</f>
        <v>0</v>
      </c>
      <c r="Q165" s="153"/>
      <c r="R165" s="153"/>
    </row>
    <row r="166" spans="1:18" x14ac:dyDescent="0.25">
      <c r="A166" s="411"/>
      <c r="B166" s="295"/>
      <c r="C166" s="295"/>
      <c r="D166" s="295"/>
      <c r="E166" s="295"/>
      <c r="F166" s="295"/>
      <c r="G166" s="295"/>
      <c r="H166" s="295"/>
      <c r="I166" s="158"/>
      <c r="J166" s="158"/>
      <c r="K166" s="459"/>
      <c r="L166" s="295"/>
      <c r="M166" s="294"/>
      <c r="N166" s="141"/>
      <c r="O166" s="153"/>
      <c r="P166" s="154"/>
      <c r="Q166" s="153"/>
      <c r="R166" s="153"/>
    </row>
    <row r="167" spans="1:18" x14ac:dyDescent="0.25">
      <c r="A167" s="411"/>
      <c r="B167" s="521" t="s">
        <v>79</v>
      </c>
      <c r="C167" s="521"/>
      <c r="D167" s="521"/>
      <c r="E167" s="319"/>
      <c r="F167" s="319"/>
      <c r="G167" s="319"/>
      <c r="H167" s="294"/>
      <c r="I167" s="138"/>
      <c r="J167" s="138"/>
      <c r="K167" s="293"/>
      <c r="L167" s="294"/>
      <c r="M167" s="294"/>
      <c r="N167" s="379"/>
      <c r="O167" s="153"/>
      <c r="P167" s="154"/>
      <c r="Q167" s="153"/>
      <c r="R167" s="153"/>
    </row>
    <row r="168" spans="1:18" ht="60" customHeight="1" x14ac:dyDescent="0.25">
      <c r="A168" s="180"/>
      <c r="B168" s="522" t="s">
        <v>628</v>
      </c>
      <c r="C168" s="522"/>
      <c r="D168" s="522"/>
      <c r="E168" s="522"/>
      <c r="F168" s="522"/>
      <c r="G168" s="522"/>
      <c r="H168" s="522"/>
      <c r="I168" s="522"/>
      <c r="J168" s="522"/>
      <c r="K168" s="505" t="s">
        <v>587</v>
      </c>
      <c r="L168" s="505"/>
      <c r="M168" s="506"/>
      <c r="N168" s="379"/>
      <c r="O168" s="153"/>
      <c r="P168" s="154"/>
      <c r="Q168" s="153"/>
      <c r="R168" s="153"/>
    </row>
    <row r="169" spans="1:18" x14ac:dyDescent="0.25">
      <c r="A169" s="205"/>
      <c r="B169" s="190"/>
      <c r="C169" s="190"/>
      <c r="D169" s="190"/>
      <c r="E169" s="190"/>
      <c r="F169" s="190"/>
      <c r="G169" s="190"/>
      <c r="H169" s="190"/>
      <c r="I169" s="206"/>
      <c r="J169" s="206"/>
      <c r="K169" s="207"/>
      <c r="L169" s="208"/>
      <c r="M169" s="190"/>
      <c r="N169" s="209"/>
      <c r="O169" s="153"/>
      <c r="P169" s="154"/>
      <c r="Q169" s="153"/>
      <c r="R169" s="153"/>
    </row>
    <row r="170" spans="1:18" s="23" customFormat="1" ht="65.099999999999994" customHeight="1" x14ac:dyDescent="0.25">
      <c r="A170" s="299"/>
      <c r="B170" s="300"/>
      <c r="C170" s="301" t="s">
        <v>310</v>
      </c>
      <c r="D170" s="97"/>
      <c r="E170" s="302"/>
      <c r="F170" s="302"/>
      <c r="G170" s="302"/>
      <c r="H170" s="301"/>
      <c r="I170" s="510" t="s">
        <v>80</v>
      </c>
      <c r="J170" s="510"/>
      <c r="K170" s="510"/>
      <c r="L170" s="510"/>
      <c r="M170" s="300"/>
      <c r="N170" s="152" t="s">
        <v>393</v>
      </c>
      <c r="O170" s="306" t="s">
        <v>372</v>
      </c>
      <c r="P170" s="307">
        <f>SUM(P171:P181)</f>
        <v>10</v>
      </c>
      <c r="Q170" s="303"/>
      <c r="R170" s="303"/>
    </row>
    <row r="171" spans="1:18" x14ac:dyDescent="0.25">
      <c r="A171" s="418"/>
      <c r="B171" s="409"/>
      <c r="C171" s="409"/>
      <c r="D171" s="409"/>
      <c r="E171" s="409"/>
      <c r="F171" s="409"/>
      <c r="G171" s="409"/>
      <c r="H171" s="409"/>
      <c r="I171" s="175"/>
      <c r="J171" s="175"/>
      <c r="K171" s="419"/>
      <c r="L171" s="420"/>
      <c r="M171" s="421"/>
      <c r="N171" s="204"/>
      <c r="O171" s="153"/>
      <c r="P171" s="154"/>
      <c r="Q171" s="153"/>
      <c r="R171" s="153"/>
    </row>
    <row r="172" spans="1:18" x14ac:dyDescent="0.25">
      <c r="A172" s="411"/>
      <c r="B172" s="295"/>
      <c r="C172" s="295"/>
      <c r="D172" s="295"/>
      <c r="E172" s="295"/>
      <c r="F172" s="295"/>
      <c r="G172" s="295"/>
      <c r="H172" s="295"/>
      <c r="I172" s="136" t="s">
        <v>12</v>
      </c>
      <c r="J172" s="136"/>
      <c r="K172" s="504" t="s">
        <v>13</v>
      </c>
      <c r="L172" s="504"/>
      <c r="M172" s="504"/>
      <c r="N172" s="377" t="s">
        <v>14</v>
      </c>
      <c r="O172" s="153"/>
      <c r="P172" s="154"/>
      <c r="Q172" s="153"/>
      <c r="R172" s="153"/>
    </row>
    <row r="173" spans="1:18" ht="25.5" x14ac:dyDescent="0.25">
      <c r="A173" s="411"/>
      <c r="B173" s="295" t="s">
        <v>81</v>
      </c>
      <c r="C173" s="295"/>
      <c r="D173" s="295"/>
      <c r="E173" s="295"/>
      <c r="F173" s="295"/>
      <c r="G173" s="295"/>
      <c r="H173" s="295"/>
      <c r="I173" s="563">
        <f>IFERROR(I72/I83,"")</f>
        <v>1062.9861111111111</v>
      </c>
      <c r="J173" s="563"/>
      <c r="K173" s="507" t="s">
        <v>284</v>
      </c>
      <c r="L173" s="507"/>
      <c r="M173" s="449" t="s">
        <v>575</v>
      </c>
      <c r="N173" s="379"/>
      <c r="O173" s="153"/>
      <c r="P173" s="154"/>
      <c r="Q173" s="153"/>
      <c r="R173" s="153"/>
    </row>
    <row r="174" spans="1:18" x14ac:dyDescent="0.25">
      <c r="A174" s="411"/>
      <c r="B174" s="295" t="s">
        <v>288</v>
      </c>
      <c r="C174" s="295"/>
      <c r="D174" s="295"/>
      <c r="E174" s="295"/>
      <c r="F174" s="295"/>
      <c r="G174" s="295"/>
      <c r="H174" s="295"/>
      <c r="I174" s="532">
        <f>I79</f>
        <v>333.18089762853594</v>
      </c>
      <c r="J174" s="532"/>
      <c r="K174" s="507" t="s">
        <v>281</v>
      </c>
      <c r="L174" s="507"/>
      <c r="M174" s="430"/>
      <c r="N174" s="379"/>
      <c r="O174" s="153"/>
      <c r="P174" s="154"/>
      <c r="Q174" s="153"/>
      <c r="R174" s="153"/>
    </row>
    <row r="175" spans="1:18" x14ac:dyDescent="0.25">
      <c r="A175" s="411"/>
      <c r="B175" s="295"/>
      <c r="C175" s="295"/>
      <c r="D175" s="295"/>
      <c r="E175" s="295"/>
      <c r="F175" s="295"/>
      <c r="G175" s="295"/>
      <c r="H175" s="295"/>
      <c r="I175" s="210"/>
      <c r="J175" s="210"/>
      <c r="K175" s="403"/>
      <c r="L175" s="461"/>
      <c r="M175" s="463"/>
      <c r="N175" s="379"/>
      <c r="O175" s="153"/>
      <c r="P175" s="154"/>
      <c r="Q175" s="153"/>
      <c r="R175" s="153"/>
    </row>
    <row r="176" spans="1:18" ht="13.9" customHeight="1" x14ac:dyDescent="0.25">
      <c r="A176" s="411"/>
      <c r="B176" s="295" t="s">
        <v>82</v>
      </c>
      <c r="C176" s="295"/>
      <c r="D176" s="295"/>
      <c r="E176" s="295"/>
      <c r="F176" s="295"/>
      <c r="G176" s="295"/>
      <c r="H176" s="295"/>
      <c r="I176" s="496" t="s">
        <v>614</v>
      </c>
      <c r="J176" s="496"/>
      <c r="K176" s="402" t="s">
        <v>297</v>
      </c>
      <c r="L176" s="485" t="s">
        <v>83</v>
      </c>
      <c r="M176" s="486"/>
      <c r="N176" s="379"/>
      <c r="O176" s="153"/>
      <c r="P176" s="154">
        <f>IF(I176="YES",5,0)</f>
        <v>5</v>
      </c>
      <c r="Q176" s="153"/>
      <c r="R176" s="153"/>
    </row>
    <row r="177" spans="1:18" x14ac:dyDescent="0.25">
      <c r="A177" s="411"/>
      <c r="B177" s="295" t="s">
        <v>84</v>
      </c>
      <c r="C177" s="295"/>
      <c r="D177" s="295"/>
      <c r="E177" s="295"/>
      <c r="F177" s="295"/>
      <c r="G177" s="295"/>
      <c r="H177" s="295"/>
      <c r="I177" s="496" t="s">
        <v>614</v>
      </c>
      <c r="J177" s="496"/>
      <c r="K177" s="402" t="s">
        <v>297</v>
      </c>
      <c r="L177" s="485" t="s">
        <v>83</v>
      </c>
      <c r="M177" s="486"/>
      <c r="N177" s="379"/>
      <c r="O177" s="153"/>
      <c r="P177" s="154">
        <f>IF(I177="YES",5,0)</f>
        <v>5</v>
      </c>
      <c r="Q177" s="153"/>
      <c r="R177" s="153"/>
    </row>
    <row r="178" spans="1:18" x14ac:dyDescent="0.25">
      <c r="A178" s="411"/>
      <c r="B178" s="295"/>
      <c r="C178" s="295"/>
      <c r="D178" s="295"/>
      <c r="E178" s="295"/>
      <c r="F178" s="295"/>
      <c r="G178" s="295"/>
      <c r="H178" s="295"/>
      <c r="I178" s="158"/>
      <c r="J178" s="158"/>
      <c r="K178" s="403"/>
      <c r="L178" s="294"/>
      <c r="M178" s="295"/>
      <c r="N178" s="379"/>
      <c r="O178" s="153"/>
      <c r="P178" s="154"/>
      <c r="Q178" s="153"/>
      <c r="R178" s="153"/>
    </row>
    <row r="179" spans="1:18" x14ac:dyDescent="0.25">
      <c r="A179" s="411"/>
      <c r="B179" s="525" t="s">
        <v>85</v>
      </c>
      <c r="C179" s="525"/>
      <c r="D179" s="525"/>
      <c r="E179" s="319"/>
      <c r="F179" s="319"/>
      <c r="G179" s="319"/>
      <c r="H179" s="294"/>
      <c r="I179" s="190"/>
      <c r="J179" s="138"/>
      <c r="K179" s="403"/>
      <c r="L179" s="295"/>
      <c r="M179" s="295"/>
      <c r="N179" s="379"/>
      <c r="O179" s="153"/>
      <c r="P179" s="154"/>
      <c r="Q179" s="153"/>
      <c r="R179" s="153"/>
    </row>
    <row r="180" spans="1:18" ht="96" customHeight="1" x14ac:dyDescent="0.25">
      <c r="A180" s="180"/>
      <c r="B180" s="493" t="s">
        <v>629</v>
      </c>
      <c r="C180" s="494"/>
      <c r="D180" s="494"/>
      <c r="E180" s="494"/>
      <c r="F180" s="494"/>
      <c r="G180" s="494"/>
      <c r="H180" s="494"/>
      <c r="I180" s="494"/>
      <c r="J180" s="495"/>
      <c r="K180" s="533" t="s">
        <v>599</v>
      </c>
      <c r="L180" s="533"/>
      <c r="M180" s="533"/>
      <c r="N180" s="379"/>
      <c r="O180" s="153"/>
      <c r="P180" s="154"/>
      <c r="Q180" s="153"/>
      <c r="R180" s="153"/>
    </row>
    <row r="181" spans="1:18" x14ac:dyDescent="0.25">
      <c r="A181" s="180"/>
      <c r="B181" s="138"/>
      <c r="C181" s="138"/>
      <c r="D181" s="138"/>
      <c r="E181" s="138"/>
      <c r="F181" s="138"/>
      <c r="G181" s="138"/>
      <c r="H181" s="138"/>
      <c r="I181" s="524"/>
      <c r="J181" s="524"/>
      <c r="K181" s="140"/>
      <c r="L181" s="139"/>
      <c r="M181" s="138"/>
      <c r="N181" s="141"/>
      <c r="O181" s="153"/>
      <c r="P181" s="154"/>
      <c r="Q181" s="153"/>
      <c r="R181" s="153"/>
    </row>
    <row r="182" spans="1:18" ht="65.099999999999994" customHeight="1" x14ac:dyDescent="0.25">
      <c r="A182" s="211"/>
      <c r="B182" s="169"/>
      <c r="C182" s="477" t="s">
        <v>311</v>
      </c>
      <c r="D182" s="149"/>
      <c r="E182" s="213"/>
      <c r="F182" s="213"/>
      <c r="G182" s="213"/>
      <c r="H182" s="212"/>
      <c r="I182" s="509" t="s">
        <v>392</v>
      </c>
      <c r="J182" s="509"/>
      <c r="K182" s="509"/>
      <c r="L182" s="509"/>
      <c r="M182" s="169"/>
      <c r="N182" s="214" t="s">
        <v>393</v>
      </c>
      <c r="O182" s="194" t="s">
        <v>373</v>
      </c>
      <c r="P182" s="195">
        <f>SUM(P183:P230)</f>
        <v>7</v>
      </c>
      <c r="Q182" s="203"/>
      <c r="R182" s="153"/>
    </row>
    <row r="183" spans="1:18" ht="20.25" x14ac:dyDescent="0.25">
      <c r="A183" s="215"/>
      <c r="B183" s="216"/>
      <c r="C183" s="216"/>
      <c r="D183" s="217"/>
      <c r="E183" s="218"/>
      <c r="F183" s="218"/>
      <c r="G183" s="218"/>
      <c r="H183" s="217"/>
      <c r="I183" s="219"/>
      <c r="J183" s="219"/>
      <c r="K183" s="326"/>
      <c r="L183" s="327"/>
      <c r="M183" s="328"/>
      <c r="N183" s="389"/>
      <c r="O183" s="153"/>
      <c r="P183" s="178"/>
      <c r="Q183" s="203"/>
      <c r="R183" s="153"/>
    </row>
    <row r="184" spans="1:18" x14ac:dyDescent="0.25">
      <c r="A184" s="180"/>
      <c r="B184" s="298" t="s">
        <v>520</v>
      </c>
      <c r="C184" s="298"/>
      <c r="D184" s="295"/>
      <c r="E184" s="295"/>
      <c r="F184" s="295"/>
      <c r="G184" s="295"/>
      <c r="H184" s="138"/>
      <c r="I184" s="136" t="s">
        <v>12</v>
      </c>
      <c r="J184" s="136"/>
      <c r="K184" s="504" t="s">
        <v>13</v>
      </c>
      <c r="L184" s="504"/>
      <c r="M184" s="504"/>
      <c r="N184" s="377" t="s">
        <v>14</v>
      </c>
      <c r="O184" s="153"/>
      <c r="P184" s="178"/>
      <c r="Q184" s="220"/>
      <c r="R184" s="153"/>
    </row>
    <row r="185" spans="1:18" x14ac:dyDescent="0.25">
      <c r="A185" s="182"/>
      <c r="B185" s="295" t="s">
        <v>285</v>
      </c>
      <c r="C185" s="295"/>
      <c r="D185" s="295"/>
      <c r="E185" s="295"/>
      <c r="F185" s="295"/>
      <c r="G185" s="295"/>
      <c r="H185" s="138"/>
      <c r="I185" s="496" t="s">
        <v>135</v>
      </c>
      <c r="J185" s="496"/>
      <c r="K185" s="402" t="s">
        <v>297</v>
      </c>
      <c r="L185" s="446" t="s">
        <v>576</v>
      </c>
      <c r="M185" s="464"/>
      <c r="N185" s="379"/>
      <c r="O185" s="153"/>
      <c r="P185" s="178"/>
      <c r="Q185" s="220"/>
      <c r="R185" s="153"/>
    </row>
    <row r="186" spans="1:18" ht="12.75" customHeight="1" x14ac:dyDescent="0.25">
      <c r="A186" s="182"/>
      <c r="B186" s="295" t="s">
        <v>87</v>
      </c>
      <c r="C186" s="295"/>
      <c r="D186" s="295"/>
      <c r="E186" s="295"/>
      <c r="F186" s="295"/>
      <c r="G186" s="295"/>
      <c r="H186" s="138"/>
      <c r="I186" s="518">
        <f>IFERROR(IF(Dropdowns!S67=0,blank,Dropdowns!S67),"")</f>
        <v>79.55</v>
      </c>
      <c r="J186" s="518"/>
      <c r="K186" s="465" t="s">
        <v>287</v>
      </c>
      <c r="L186" s="430" t="s">
        <v>88</v>
      </c>
      <c r="M186" s="295"/>
      <c r="N186" s="394"/>
      <c r="O186" s="153"/>
      <c r="P186" s="154"/>
      <c r="Q186" s="153"/>
      <c r="R186" s="153"/>
    </row>
    <row r="187" spans="1:18" ht="12.75" customHeight="1" x14ac:dyDescent="0.25">
      <c r="A187" s="182"/>
      <c r="B187" s="295" t="s">
        <v>286</v>
      </c>
      <c r="C187" s="295"/>
      <c r="D187" s="295"/>
      <c r="E187" s="295"/>
      <c r="F187" s="295"/>
      <c r="G187" s="295"/>
      <c r="H187" s="138"/>
      <c r="I187" s="518">
        <f>IFERROR((I186*(1-VLOOKUP(I185,D288:E344,2,FALSE))),"")</f>
        <v>35.001999999999995</v>
      </c>
      <c r="J187" s="518"/>
      <c r="K187" s="465" t="s">
        <v>287</v>
      </c>
      <c r="L187" s="430" t="s">
        <v>534</v>
      </c>
      <c r="M187" s="295"/>
      <c r="N187" s="141"/>
      <c r="O187" s="153"/>
      <c r="P187" s="154"/>
      <c r="Q187" s="173"/>
      <c r="R187" s="153"/>
    </row>
    <row r="188" spans="1:18" x14ac:dyDescent="0.25">
      <c r="A188" s="180"/>
      <c r="B188" s="295"/>
      <c r="C188" s="295"/>
      <c r="D188" s="295"/>
      <c r="E188" s="295"/>
      <c r="F188" s="295"/>
      <c r="G188" s="295"/>
      <c r="H188" s="138"/>
      <c r="I188" s="138"/>
      <c r="J188" s="138"/>
      <c r="K188" s="295"/>
      <c r="L188" s="311"/>
      <c r="M188" s="466"/>
      <c r="N188" s="141"/>
      <c r="O188" s="153"/>
      <c r="P188" s="154"/>
      <c r="Q188" s="153"/>
      <c r="R188" s="153"/>
    </row>
    <row r="189" spans="1:18" ht="13.15" customHeight="1" x14ac:dyDescent="0.25">
      <c r="A189" s="180"/>
      <c r="B189" s="295" t="s">
        <v>456</v>
      </c>
      <c r="C189" s="295"/>
      <c r="D189" s="295"/>
      <c r="E189" s="295"/>
      <c r="F189" s="295"/>
      <c r="G189" s="295"/>
      <c r="H189" s="138"/>
      <c r="I189" s="491" t="s">
        <v>617</v>
      </c>
      <c r="J189" s="492"/>
      <c r="K189" s="402" t="s">
        <v>297</v>
      </c>
      <c r="L189" s="437" t="s">
        <v>577</v>
      </c>
      <c r="M189" s="433"/>
      <c r="N189" s="141"/>
      <c r="O189" s="153"/>
      <c r="P189" s="154"/>
      <c r="Q189" s="153"/>
      <c r="R189" s="153"/>
    </row>
    <row r="190" spans="1:18" x14ac:dyDescent="0.25">
      <c r="A190" s="182"/>
      <c r="B190" s="295" t="s">
        <v>466</v>
      </c>
      <c r="C190" s="295"/>
      <c r="D190" s="295"/>
      <c r="E190" s="295"/>
      <c r="F190" s="295"/>
      <c r="G190" s="295"/>
      <c r="H190" s="138"/>
      <c r="I190" s="491" t="s">
        <v>455</v>
      </c>
      <c r="J190" s="492"/>
      <c r="K190" s="402" t="s">
        <v>297</v>
      </c>
      <c r="L190" s="430" t="s">
        <v>537</v>
      </c>
      <c r="M190" s="295"/>
      <c r="N190" s="141"/>
      <c r="O190" s="153"/>
      <c r="P190" s="154"/>
      <c r="Q190" s="173"/>
      <c r="R190" s="153"/>
    </row>
    <row r="191" spans="1:18" x14ac:dyDescent="0.25">
      <c r="A191" s="182"/>
      <c r="B191" s="295"/>
      <c r="C191" s="295"/>
      <c r="D191" s="295"/>
      <c r="E191" s="295"/>
      <c r="F191" s="295"/>
      <c r="G191" s="295"/>
      <c r="H191" s="138"/>
      <c r="I191" s="138"/>
      <c r="J191" s="138"/>
      <c r="K191" s="293"/>
      <c r="L191" s="295"/>
      <c r="M191" s="295"/>
      <c r="N191" s="141"/>
      <c r="O191" s="153"/>
      <c r="P191" s="154"/>
      <c r="Q191" s="173"/>
      <c r="R191" s="153"/>
    </row>
    <row r="192" spans="1:18" x14ac:dyDescent="0.25">
      <c r="A192" s="182"/>
      <c r="B192" s="298" t="s">
        <v>538</v>
      </c>
      <c r="C192" s="295"/>
      <c r="D192" s="295"/>
      <c r="E192" s="295"/>
      <c r="F192" s="295"/>
      <c r="G192" s="295"/>
      <c r="H192" s="138"/>
      <c r="I192" s="138"/>
      <c r="J192" s="138"/>
      <c r="K192" s="293"/>
      <c r="L192" s="295"/>
      <c r="M192" s="295"/>
      <c r="N192" s="141"/>
      <c r="O192" s="153"/>
      <c r="P192" s="154"/>
      <c r="Q192" s="173"/>
      <c r="R192" s="153"/>
    </row>
    <row r="193" spans="1:18" x14ac:dyDescent="0.25">
      <c r="A193" s="182"/>
      <c r="B193" s="295" t="s">
        <v>508</v>
      </c>
      <c r="C193" s="295"/>
      <c r="D193" s="295"/>
      <c r="E193" s="295"/>
      <c r="F193" s="295"/>
      <c r="G193" s="295"/>
      <c r="H193" s="138"/>
      <c r="I193" s="138"/>
      <c r="J193" s="138"/>
      <c r="K193" s="293"/>
      <c r="L193" s="295"/>
      <c r="M193" s="295"/>
      <c r="N193" s="141"/>
      <c r="O193" s="153"/>
      <c r="P193" s="154"/>
      <c r="Q193" s="173"/>
      <c r="R193" s="153"/>
    </row>
    <row r="194" spans="1:18" x14ac:dyDescent="0.25">
      <c r="A194" s="182"/>
      <c r="B194" s="23"/>
      <c r="C194" s="295"/>
      <c r="D194" s="295"/>
      <c r="E194" s="295"/>
      <c r="F194" s="295"/>
      <c r="G194" s="295"/>
      <c r="H194" s="295"/>
      <c r="I194" s="138"/>
      <c r="J194" s="138"/>
      <c r="K194" s="293"/>
      <c r="L194" s="295"/>
      <c r="M194" s="295"/>
      <c r="N194" s="141"/>
      <c r="O194" s="153"/>
      <c r="P194" s="154"/>
      <c r="Q194" s="173"/>
      <c r="R194" s="153"/>
    </row>
    <row r="195" spans="1:18" s="228" customFormat="1" x14ac:dyDescent="0.25">
      <c r="A195" s="221"/>
      <c r="B195" s="295"/>
      <c r="C195" s="316"/>
      <c r="D195" s="316"/>
      <c r="E195" s="316"/>
      <c r="F195" s="316"/>
      <c r="G195" s="222" t="s">
        <v>480</v>
      </c>
      <c r="H195" s="223" t="s">
        <v>509</v>
      </c>
      <c r="I195" s="222" t="s">
        <v>482</v>
      </c>
      <c r="J195" s="224" t="s">
        <v>510</v>
      </c>
      <c r="K195" s="402"/>
      <c r="L195" s="316"/>
      <c r="M195" s="467"/>
      <c r="N195" s="390"/>
      <c r="O195" s="225"/>
      <c r="P195" s="226"/>
      <c r="Q195" s="227"/>
      <c r="R195" s="225"/>
    </row>
    <row r="196" spans="1:18" s="228" customFormat="1" x14ac:dyDescent="0.25">
      <c r="A196" s="229"/>
      <c r="B196" s="322" t="s">
        <v>468</v>
      </c>
      <c r="C196" s="322"/>
      <c r="D196" s="322" t="s">
        <v>475</v>
      </c>
      <c r="E196" s="322"/>
      <c r="F196" s="323" t="s">
        <v>505</v>
      </c>
      <c r="G196" s="232" t="s">
        <v>481</v>
      </c>
      <c r="H196" s="233" t="s">
        <v>470</v>
      </c>
      <c r="I196" s="232" t="s">
        <v>481</v>
      </c>
      <c r="J196" s="233" t="s">
        <v>504</v>
      </c>
      <c r="K196" s="402"/>
      <c r="L196" s="316"/>
      <c r="M196" s="467"/>
      <c r="N196" s="390"/>
      <c r="O196" s="225"/>
      <c r="P196" s="226"/>
      <c r="Q196" s="227"/>
      <c r="R196" s="225"/>
    </row>
    <row r="197" spans="1:18" x14ac:dyDescent="0.25">
      <c r="A197" s="234"/>
      <c r="B197" s="235" t="s">
        <v>156</v>
      </c>
      <c r="C197" s="236"/>
      <c r="D197" s="132" t="s">
        <v>489</v>
      </c>
      <c r="E197" s="236" t="s">
        <v>297</v>
      </c>
      <c r="F197" s="132">
        <v>431.6</v>
      </c>
      <c r="G197" s="237">
        <f>IFERROR(VLOOKUP(D:D,Conversion_to_kBtu_Table, 2, FALSE),"")</f>
        <v>3412.14</v>
      </c>
      <c r="H197" s="238">
        <f>IFERROR(F:F*G:G,"")</f>
        <v>1472679.6240000001</v>
      </c>
      <c r="I197" s="239">
        <f>IFERROR(VLOOKUP(B197,Fuel_Source_Carbon_Table,2,FALSE),"")</f>
        <v>0.11330763094921563</v>
      </c>
      <c r="J197" s="238">
        <f>IFERROR(H197*I197,"")</f>
        <v>166865.83934262165</v>
      </c>
      <c r="K197" s="402"/>
      <c r="L197" s="446" t="s">
        <v>568</v>
      </c>
      <c r="M197" s="430"/>
      <c r="N197" s="141"/>
      <c r="O197" s="153"/>
      <c r="P197" s="154"/>
      <c r="Q197" s="173"/>
      <c r="R197" s="153"/>
    </row>
    <row r="198" spans="1:18" x14ac:dyDescent="0.25">
      <c r="A198" s="182"/>
      <c r="B198" s="134" t="s">
        <v>467</v>
      </c>
      <c r="C198" s="236" t="s">
        <v>297</v>
      </c>
      <c r="D198" s="133" t="s">
        <v>487</v>
      </c>
      <c r="E198" s="236" t="s">
        <v>297</v>
      </c>
      <c r="F198" s="133">
        <v>421.3</v>
      </c>
      <c r="G198" s="237">
        <f>IFERROR(VLOOKUP(D:D,Conversion_to_kBtu_Table, 2, FALSE),"")</f>
        <v>1000</v>
      </c>
      <c r="H198" s="238">
        <f>IFERROR(F:F*G:G,"")</f>
        <v>421300</v>
      </c>
      <c r="I198" s="239">
        <f>IFERROR(VLOOKUP(B198,Fuel_Source_Carbon_Table,2,FALSE),"")</f>
        <v>5.3109999999999997E-2</v>
      </c>
      <c r="J198" s="238">
        <f t="shared" ref="J198:J201" si="1">IFERROR(H198*I198,"")</f>
        <v>22375.242999999999</v>
      </c>
      <c r="K198" s="402"/>
      <c r="L198" s="446" t="s">
        <v>568</v>
      </c>
      <c r="M198" s="430"/>
      <c r="N198" s="141"/>
      <c r="O198" s="153"/>
      <c r="P198" s="154"/>
      <c r="Q198" s="173"/>
      <c r="R198" s="153"/>
    </row>
    <row r="199" spans="1:18" x14ac:dyDescent="0.25">
      <c r="A199" s="182"/>
      <c r="B199" s="134"/>
      <c r="C199" s="236" t="s">
        <v>297</v>
      </c>
      <c r="D199" s="133"/>
      <c r="E199" s="236" t="s">
        <v>297</v>
      </c>
      <c r="F199" s="133"/>
      <c r="G199" s="237" t="str">
        <f>IFERROR(VLOOKUP(D:D,Conversion_to_kBtu_Table, 2, FALSE),"")</f>
        <v/>
      </c>
      <c r="H199" s="238" t="str">
        <f>IFERROR(F:F*G:G,"")</f>
        <v/>
      </c>
      <c r="I199" s="239" t="str">
        <f>IFERROR(VLOOKUP(B199,Fuel_Source_Carbon_Table,2,FALSE),"")</f>
        <v/>
      </c>
      <c r="J199" s="238" t="str">
        <f t="shared" si="1"/>
        <v/>
      </c>
      <c r="K199" s="402"/>
      <c r="L199" s="446" t="s">
        <v>568</v>
      </c>
      <c r="M199" s="430"/>
      <c r="N199" s="141"/>
      <c r="O199" s="153"/>
      <c r="P199" s="154"/>
      <c r="Q199" s="173"/>
      <c r="R199" s="153"/>
    </row>
    <row r="200" spans="1:18" x14ac:dyDescent="0.25">
      <c r="A200" s="182"/>
      <c r="B200" s="134"/>
      <c r="C200" s="236" t="s">
        <v>297</v>
      </c>
      <c r="D200" s="133"/>
      <c r="E200" s="236" t="s">
        <v>297</v>
      </c>
      <c r="F200" s="133"/>
      <c r="G200" s="237" t="str">
        <f>IFERROR(VLOOKUP(D:D,Conversion_to_kBtu_Table, 2, FALSE),"")</f>
        <v/>
      </c>
      <c r="H200" s="238" t="str">
        <f>IFERROR(F:F*G:G,"")</f>
        <v/>
      </c>
      <c r="I200" s="239" t="str">
        <f>IFERROR(VLOOKUP(B200,Fuel_Source_Carbon_Table,2,FALSE),"")</f>
        <v/>
      </c>
      <c r="J200" s="238" t="str">
        <f t="shared" si="1"/>
        <v/>
      </c>
      <c r="K200" s="402"/>
      <c r="L200" s="446" t="s">
        <v>568</v>
      </c>
      <c r="M200" s="430"/>
      <c r="N200" s="141"/>
      <c r="O200" s="153"/>
      <c r="P200" s="154"/>
      <c r="Q200" s="173"/>
      <c r="R200" s="153"/>
    </row>
    <row r="201" spans="1:18" x14ac:dyDescent="0.25">
      <c r="A201" s="182"/>
      <c r="B201" s="134"/>
      <c r="C201" s="236" t="s">
        <v>297</v>
      </c>
      <c r="D201" s="133"/>
      <c r="E201" s="236" t="s">
        <v>297</v>
      </c>
      <c r="F201" s="133"/>
      <c r="G201" s="237" t="str">
        <f>IFERROR(VLOOKUP(D:D,Conversion_to_kBtu_Table, 2, FALSE),"")</f>
        <v/>
      </c>
      <c r="H201" s="238" t="str">
        <f>IFERROR(F:F*G:G,"")</f>
        <v/>
      </c>
      <c r="I201" s="239" t="str">
        <f>IFERROR(VLOOKUP(B201,Fuel_Source_Carbon_Table,2,FALSE),"")</f>
        <v/>
      </c>
      <c r="J201" s="238" t="str">
        <f t="shared" si="1"/>
        <v/>
      </c>
      <c r="K201" s="402"/>
      <c r="L201" s="294"/>
      <c r="M201" s="430"/>
      <c r="N201" s="141"/>
      <c r="O201" s="153"/>
      <c r="P201" s="154"/>
      <c r="Q201" s="173"/>
      <c r="R201" s="153"/>
    </row>
    <row r="202" spans="1:18" x14ac:dyDescent="0.25">
      <c r="A202" s="182"/>
      <c r="B202" s="138"/>
      <c r="C202" s="138"/>
      <c r="D202" s="138"/>
      <c r="E202" s="138"/>
      <c r="F202" s="163"/>
      <c r="G202" s="138"/>
      <c r="H202" s="138"/>
      <c r="I202" s="138"/>
      <c r="J202" s="138"/>
      <c r="K202" s="402"/>
      <c r="L202" s="294"/>
      <c r="M202" s="430"/>
      <c r="N202" s="141"/>
      <c r="O202" s="153"/>
      <c r="P202" s="154"/>
      <c r="Q202" s="173"/>
      <c r="R202" s="153"/>
    </row>
    <row r="203" spans="1:18" x14ac:dyDescent="0.25">
      <c r="A203" s="182"/>
      <c r="B203" s="298" t="s">
        <v>539</v>
      </c>
      <c r="C203" s="295"/>
      <c r="D203" s="295"/>
      <c r="E203" s="295"/>
      <c r="F203" s="316"/>
      <c r="G203" s="295"/>
      <c r="H203" s="138"/>
      <c r="I203" s="138"/>
      <c r="J203" s="138"/>
      <c r="K203" s="402"/>
      <c r="L203" s="294"/>
      <c r="M203" s="430"/>
      <c r="N203" s="141"/>
      <c r="O203" s="153"/>
      <c r="P203" s="154"/>
      <c r="Q203" s="173"/>
      <c r="R203" s="153"/>
    </row>
    <row r="204" spans="1:18" x14ac:dyDescent="0.25">
      <c r="A204" s="182"/>
      <c r="B204" s="295" t="s">
        <v>535</v>
      </c>
      <c r="C204" s="295"/>
      <c r="D204" s="295"/>
      <c r="E204" s="295"/>
      <c r="F204" s="295"/>
      <c r="G204" s="295"/>
      <c r="H204" s="138"/>
      <c r="I204" s="491" t="s">
        <v>633</v>
      </c>
      <c r="J204" s="492"/>
      <c r="K204" s="402" t="s">
        <v>297</v>
      </c>
      <c r="L204" s="446" t="s">
        <v>578</v>
      </c>
      <c r="M204" s="430"/>
      <c r="N204" s="141"/>
      <c r="O204" s="153"/>
      <c r="P204" s="154"/>
      <c r="Q204" s="173"/>
      <c r="R204" s="153"/>
    </row>
    <row r="205" spans="1:18" ht="12.75" customHeight="1" x14ac:dyDescent="0.25">
      <c r="A205" s="182"/>
      <c r="B205" s="295" t="s">
        <v>506</v>
      </c>
      <c r="C205" s="295"/>
      <c r="D205" s="295"/>
      <c r="E205" s="295"/>
      <c r="F205" s="295"/>
      <c r="G205" s="295"/>
      <c r="H205" s="138"/>
      <c r="I205" s="491"/>
      <c r="J205" s="492"/>
      <c r="K205" s="402" t="s">
        <v>297</v>
      </c>
      <c r="L205" s="502" t="s">
        <v>514</v>
      </c>
      <c r="M205" s="508"/>
      <c r="N205" s="500" t="str">
        <f>HYPERLINK("https://www.energystar.gov/buildings/tools-and-resources/how_benchmark_onsite_renewables_portfolio_manager", "Energy Star Guide How to Benchmark Onsite Renewables in Portfolio Manager")</f>
        <v>Energy Star Guide How to Benchmark Onsite Renewables in Portfolio Manager</v>
      </c>
      <c r="O205" s="153"/>
      <c r="P205" s="154"/>
      <c r="Q205" s="173"/>
      <c r="R205" s="153"/>
    </row>
    <row r="206" spans="1:18" x14ac:dyDescent="0.25">
      <c r="A206" s="182"/>
      <c r="B206" s="295"/>
      <c r="C206" s="295"/>
      <c r="D206" s="295"/>
      <c r="E206" s="295"/>
      <c r="F206" s="295"/>
      <c r="G206" s="295"/>
      <c r="H206" s="138"/>
      <c r="I206" s="138"/>
      <c r="J206" s="138"/>
      <c r="K206" s="293"/>
      <c r="L206" s="502"/>
      <c r="M206" s="508"/>
      <c r="N206" s="500"/>
      <c r="O206" s="153"/>
      <c r="P206" s="154"/>
      <c r="Q206" s="173"/>
      <c r="R206" s="153"/>
    </row>
    <row r="207" spans="1:18" x14ac:dyDescent="0.25">
      <c r="A207" s="182"/>
      <c r="B207" s="295" t="s">
        <v>507</v>
      </c>
      <c r="C207" s="295"/>
      <c r="D207" s="295"/>
      <c r="E207" s="295"/>
      <c r="F207" s="295"/>
      <c r="G207" s="295"/>
      <c r="H207" s="138"/>
      <c r="I207" s="138"/>
      <c r="J207" s="138"/>
      <c r="K207" s="293"/>
      <c r="L207" s="502"/>
      <c r="M207" s="508"/>
      <c r="N207" s="141"/>
      <c r="O207" s="153"/>
      <c r="P207" s="154"/>
      <c r="Q207" s="173"/>
      <c r="R207" s="153"/>
    </row>
    <row r="208" spans="1:18" x14ac:dyDescent="0.25">
      <c r="A208" s="182"/>
      <c r="B208" s="138"/>
      <c r="C208" s="138"/>
      <c r="D208" s="138"/>
      <c r="E208" s="138"/>
      <c r="F208" s="138"/>
      <c r="G208" s="295"/>
      <c r="H208" s="295"/>
      <c r="I208" s="295"/>
      <c r="J208" s="295"/>
      <c r="K208" s="293"/>
      <c r="L208" s="295"/>
      <c r="M208" s="295"/>
      <c r="N208" s="141"/>
      <c r="O208" s="153"/>
      <c r="P208" s="154"/>
      <c r="Q208" s="173"/>
      <c r="R208" s="153"/>
    </row>
    <row r="209" spans="1:18" x14ac:dyDescent="0.25">
      <c r="A209" s="182"/>
      <c r="B209" s="163"/>
      <c r="C209" s="163"/>
      <c r="D209" s="163"/>
      <c r="E209" s="163"/>
      <c r="F209" s="163"/>
      <c r="G209" s="320" t="s">
        <v>480</v>
      </c>
      <c r="H209" s="321" t="s">
        <v>509</v>
      </c>
      <c r="I209" s="320" t="s">
        <v>482</v>
      </c>
      <c r="J209" s="329" t="s">
        <v>510</v>
      </c>
      <c r="K209" s="402"/>
      <c r="L209" s="294"/>
      <c r="M209" s="430"/>
      <c r="N209" s="141"/>
      <c r="O209" s="153"/>
      <c r="P209" s="154"/>
      <c r="Q209" s="173"/>
      <c r="R209" s="153"/>
    </row>
    <row r="210" spans="1:18" x14ac:dyDescent="0.25">
      <c r="A210" s="182"/>
      <c r="B210" s="322" t="s">
        <v>511</v>
      </c>
      <c r="C210" s="230"/>
      <c r="D210" s="230" t="s">
        <v>475</v>
      </c>
      <c r="E210" s="230"/>
      <c r="F210" s="231" t="s">
        <v>505</v>
      </c>
      <c r="G210" s="324" t="s">
        <v>481</v>
      </c>
      <c r="H210" s="325" t="s">
        <v>470</v>
      </c>
      <c r="I210" s="324" t="s">
        <v>481</v>
      </c>
      <c r="J210" s="325" t="s">
        <v>504</v>
      </c>
      <c r="K210" s="402"/>
      <c r="L210" s="294"/>
      <c r="M210" s="430"/>
      <c r="N210" s="141"/>
      <c r="O210" s="153"/>
      <c r="P210" s="154"/>
      <c r="Q210" s="173"/>
      <c r="R210" s="153"/>
    </row>
    <row r="211" spans="1:18" x14ac:dyDescent="0.25">
      <c r="A211" s="182"/>
      <c r="B211" s="294" t="s">
        <v>512</v>
      </c>
      <c r="C211" s="236" t="s">
        <v>297</v>
      </c>
      <c r="D211" s="132" t="s">
        <v>476</v>
      </c>
      <c r="E211" s="236" t="s">
        <v>297</v>
      </c>
      <c r="F211" s="132"/>
      <c r="G211" s="330">
        <f>IFERROR(VLOOKUP(D:D,Conversion_to_kBtu_Table, 2, FALSE),"")</f>
        <v>3.41214</v>
      </c>
      <c r="H211" s="331">
        <f>IFERROR((F:F*G:G),0)</f>
        <v>0</v>
      </c>
      <c r="I211" s="332">
        <f>IFERROR(VLOOKUP("Electricity",Fuel_Source_Carbon_Table,2,FALSE),0)</f>
        <v>0.11330763094921563</v>
      </c>
      <c r="J211" s="331">
        <f>(H211*I211)</f>
        <v>0</v>
      </c>
      <c r="K211" s="402"/>
      <c r="L211" s="294"/>
      <c r="M211" s="430"/>
      <c r="N211" s="141"/>
      <c r="O211" s="153"/>
      <c r="P211" s="154"/>
      <c r="Q211" s="173"/>
      <c r="R211" s="153"/>
    </row>
    <row r="212" spans="1:18" x14ac:dyDescent="0.25">
      <c r="A212" s="182"/>
      <c r="B212" s="294" t="s">
        <v>513</v>
      </c>
      <c r="C212" s="236" t="s">
        <v>297</v>
      </c>
      <c r="D212" s="133" t="s">
        <v>489</v>
      </c>
      <c r="E212" s="236" t="s">
        <v>297</v>
      </c>
      <c r="F212" s="133"/>
      <c r="G212" s="330">
        <f>IFERROR(VLOOKUP(D:D,Conversion_to_kBtu_Table, 2, FALSE),"")</f>
        <v>3412.14</v>
      </c>
      <c r="H212" s="331">
        <f>IFERROR(F:F*G:G,0)</f>
        <v>0</v>
      </c>
      <c r="I212" s="332">
        <f>IFERROR(VLOOKUP("Electricity",Fuel_Source_Carbon_Table,2,FALSE),0)</f>
        <v>0.11330763094921563</v>
      </c>
      <c r="J212" s="331">
        <f>(H212*I212)</f>
        <v>0</v>
      </c>
      <c r="K212" s="402"/>
      <c r="L212" s="294"/>
      <c r="M212" s="430"/>
      <c r="N212" s="141"/>
      <c r="O212" s="153"/>
      <c r="P212" s="154"/>
      <c r="Q212" s="173"/>
      <c r="R212" s="153"/>
    </row>
    <row r="213" spans="1:18" x14ac:dyDescent="0.25">
      <c r="A213" s="182"/>
      <c r="B213" s="23"/>
      <c r="C213" s="138"/>
      <c r="D213" s="138"/>
      <c r="E213" s="138"/>
      <c r="F213" s="138"/>
      <c r="G213" s="138"/>
      <c r="H213" s="240"/>
      <c r="I213" s="138"/>
      <c r="J213" s="240"/>
      <c r="K213" s="402"/>
      <c r="L213" s="294"/>
      <c r="M213" s="430"/>
      <c r="N213" s="141"/>
      <c r="O213" s="153"/>
      <c r="P213" s="154"/>
      <c r="Q213" s="173"/>
      <c r="R213" s="153"/>
    </row>
    <row r="214" spans="1:18" x14ac:dyDescent="0.25">
      <c r="A214" s="182"/>
      <c r="B214" s="137"/>
      <c r="C214" s="138"/>
      <c r="D214" s="138"/>
      <c r="E214" s="138"/>
      <c r="F214" s="138"/>
      <c r="G214" s="138"/>
      <c r="H214" s="138"/>
      <c r="I214" s="241" t="s">
        <v>544</v>
      </c>
      <c r="J214" s="158"/>
      <c r="K214" s="402"/>
      <c r="L214" s="294"/>
      <c r="M214" s="430"/>
      <c r="N214" s="141"/>
      <c r="O214" s="153"/>
      <c r="P214" s="154"/>
      <c r="Q214" s="173"/>
      <c r="R214" s="153"/>
    </row>
    <row r="215" spans="1:18" x14ac:dyDescent="0.25">
      <c r="A215" s="182"/>
      <c r="B215" s="23"/>
      <c r="C215" s="295"/>
      <c r="D215" s="295"/>
      <c r="E215" s="295"/>
      <c r="F215" s="295"/>
      <c r="G215" s="295"/>
      <c r="H215" s="333" t="s">
        <v>543</v>
      </c>
      <c r="I215" s="333" t="s">
        <v>545</v>
      </c>
      <c r="J215" s="334" t="s">
        <v>510</v>
      </c>
      <c r="K215" s="402"/>
      <c r="L215" s="294"/>
      <c r="M215" s="430"/>
      <c r="N215" s="141"/>
      <c r="O215" s="153"/>
      <c r="P215" s="154"/>
      <c r="Q215" s="173"/>
      <c r="R215" s="153"/>
    </row>
    <row r="216" spans="1:18" x14ac:dyDescent="0.25">
      <c r="A216" s="182"/>
      <c r="B216" s="335" t="s">
        <v>546</v>
      </c>
      <c r="C216" s="336"/>
      <c r="D216" s="336"/>
      <c r="E216" s="336"/>
      <c r="F216" s="337"/>
      <c r="G216" s="337"/>
      <c r="H216" s="323" t="s">
        <v>480</v>
      </c>
      <c r="I216" s="338" t="s">
        <v>287</v>
      </c>
      <c r="J216" s="323" t="s">
        <v>504</v>
      </c>
      <c r="K216" s="402"/>
      <c r="L216" s="294"/>
      <c r="M216" s="430"/>
      <c r="N216" s="141"/>
      <c r="O216" s="153"/>
      <c r="P216" s="154"/>
      <c r="Q216" s="173"/>
      <c r="R216" s="153"/>
    </row>
    <row r="217" spans="1:18" hidden="1" x14ac:dyDescent="0.25">
      <c r="A217" s="182"/>
      <c r="B217" s="339" t="s">
        <v>540</v>
      </c>
      <c r="C217" s="339"/>
      <c r="D217" s="339"/>
      <c r="E217" s="339"/>
      <c r="F217" s="339"/>
      <c r="G217" s="339"/>
      <c r="H217" s="340" cm="1">
        <f t="array" ref="H217">_xlfn.IFS(OR(I204="Not Included", I204="Planned"),H197,I205="",0,I205="Gross Metered",H197,I205="Net Metered",(H197+(H211-H212)))</f>
        <v>1472679.6240000001</v>
      </c>
      <c r="I217" s="341">
        <f>IFERROR(H217/Area_Building,"")</f>
        <v>19.241910550728427</v>
      </c>
      <c r="J217" s="342" cm="1">
        <f t="array" ref="J217">_xlfn.IFS(OR(I204="Not Included", I204="Planned"),J197,I205="",0,I205="Gross Metered",J197,I205="Net Metered",(J197+(J211-J212)))</f>
        <v>166865.83934262165</v>
      </c>
      <c r="K217" s="402"/>
      <c r="L217" s="430" t="s">
        <v>542</v>
      </c>
      <c r="M217" s="430"/>
      <c r="N217" s="141"/>
      <c r="O217" s="153"/>
      <c r="P217" s="154"/>
      <c r="Q217" s="173"/>
      <c r="R217" s="153"/>
    </row>
    <row r="218" spans="1:18" hidden="1" x14ac:dyDescent="0.25">
      <c r="A218" s="180"/>
      <c r="B218" s="339" t="s">
        <v>541</v>
      </c>
      <c r="C218" s="339"/>
      <c r="D218" s="339"/>
      <c r="E218" s="339"/>
      <c r="F218" s="339"/>
      <c r="G218" s="339"/>
      <c r="H218" s="340">
        <f>SUM(H198:H201)</f>
        <v>421300</v>
      </c>
      <c r="I218" s="341">
        <f>IFERROR(H218/Area_Building,"")</f>
        <v>5.5046710655255762</v>
      </c>
      <c r="J218" s="342">
        <f>SUM(J198:J201)</f>
        <v>22375.242999999999</v>
      </c>
      <c r="K218" s="310"/>
      <c r="L218" s="311"/>
      <c r="M218" s="311"/>
      <c r="N218" s="141"/>
      <c r="O218" s="153"/>
      <c r="P218" s="154"/>
      <c r="Q218" s="153"/>
      <c r="R218" s="153"/>
    </row>
    <row r="219" spans="1:18" x14ac:dyDescent="0.25">
      <c r="A219" s="180"/>
      <c r="B219" s="298" t="s">
        <v>548</v>
      </c>
      <c r="C219" s="298"/>
      <c r="D219" s="298"/>
      <c r="E219" s="298"/>
      <c r="F219" s="298"/>
      <c r="G219" s="298"/>
      <c r="H219" s="343">
        <f>H217+H218</f>
        <v>1893979.6240000001</v>
      </c>
      <c r="I219" s="344">
        <f>IFERROR(Energy_Consumption_Annual_Total/Area_Building,"")</f>
        <v>24.746581616254002</v>
      </c>
      <c r="J219" s="345">
        <f>SUM(J217:J218)</f>
        <v>189241.08234262164</v>
      </c>
      <c r="K219" s="310"/>
      <c r="L219" s="311"/>
      <c r="M219" s="311"/>
      <c r="N219" s="141"/>
      <c r="O219" s="153"/>
      <c r="P219" s="154"/>
      <c r="Q219" s="153"/>
      <c r="R219" s="153"/>
    </row>
    <row r="220" spans="1:18" x14ac:dyDescent="0.25">
      <c r="A220" s="182"/>
      <c r="B220" s="298" t="s">
        <v>549</v>
      </c>
      <c r="C220" s="298"/>
      <c r="D220" s="298"/>
      <c r="E220" s="298"/>
      <c r="F220" s="298"/>
      <c r="G220" s="298"/>
      <c r="H220" s="343">
        <f>H211</f>
        <v>0</v>
      </c>
      <c r="I220" s="344">
        <f>IFERROR(Energy_Production_Annual_Total/Area_Building,"")</f>
        <v>0</v>
      </c>
      <c r="J220" s="345">
        <f>J211</f>
        <v>0</v>
      </c>
      <c r="K220" s="23"/>
      <c r="L220" s="430"/>
      <c r="M220" s="295"/>
      <c r="N220" s="141"/>
      <c r="O220" s="153"/>
      <c r="P220" s="154"/>
      <c r="Q220" s="173"/>
      <c r="R220" s="153"/>
    </row>
    <row r="221" spans="1:18" x14ac:dyDescent="0.25">
      <c r="A221" s="182"/>
      <c r="B221" s="298" t="s">
        <v>547</v>
      </c>
      <c r="C221" s="298"/>
      <c r="D221" s="298"/>
      <c r="E221" s="298"/>
      <c r="F221" s="298"/>
      <c r="G221" s="298"/>
      <c r="H221" s="343">
        <f>Energy_Consumption_Annual_Total-Energy_Production_Annual_Total</f>
        <v>1893979.6240000001</v>
      </c>
      <c r="I221" s="344">
        <f>IFERROR(H221/Area_Building,"")</f>
        <v>24.746581616254002</v>
      </c>
      <c r="J221" s="346">
        <f>J219-J220</f>
        <v>189241.08234262164</v>
      </c>
      <c r="K221" s="465"/>
      <c r="L221" s="430"/>
      <c r="M221" s="295"/>
      <c r="N221" s="141"/>
      <c r="O221" s="153"/>
      <c r="P221" s="154"/>
      <c r="Q221" s="173"/>
      <c r="R221" s="153"/>
    </row>
    <row r="222" spans="1:18" ht="15" customHeight="1" x14ac:dyDescent="0.25">
      <c r="A222" s="180"/>
      <c r="B222" s="298" t="s">
        <v>387</v>
      </c>
      <c r="C222" s="295"/>
      <c r="D222" s="295"/>
      <c r="E222" s="295"/>
      <c r="F222" s="295"/>
      <c r="G222" s="295"/>
      <c r="H222" s="528">
        <f>IFERROR(IF(Energy_Consumption_Annual_Total=0,0,(1-(I221/I186))),"")</f>
        <v>0.68891789294463857</v>
      </c>
      <c r="I222" s="529"/>
      <c r="J222" s="312"/>
      <c r="K222" s="293"/>
      <c r="L222" s="430" t="s">
        <v>313</v>
      </c>
      <c r="M222" s="295"/>
      <c r="N222" s="141"/>
      <c r="O222" s="153"/>
      <c r="P222" s="154">
        <f>IF(H222=0,0,IF(AND(H222&gt;0,H222&lt;0),1,IF(AND(H222&gt;0.1,H222&lt;0.2),2,IF(AND(H222&gt;0.2,H222&lt;0.3),3,IF(AND(H222&gt;0.3,H222&lt;0.4),4,IF(AND(H222&gt;0.4,H222&lt;0.5),5,IF(AND(H222&gt;0.5,H222&lt;0.6),6,IF(AND(H222&gt;0.6,H222&lt;0.7),7,IF(AND(H222&gt;0.7,H222&lt;0.8),8,IF(AND(H222&gt;0.8,H222&lt;0.9),9,IF(AND(H222&gt;0.9,H222=1),10,IF(H222&gt;1,10,0))))))))))))</f>
        <v>7</v>
      </c>
      <c r="Q222" s="173"/>
      <c r="R222" s="153"/>
    </row>
    <row r="223" spans="1:18" x14ac:dyDescent="0.25">
      <c r="A223" s="180"/>
      <c r="B223" s="295"/>
      <c r="C223" s="295"/>
      <c r="D223" s="295"/>
      <c r="E223" s="295"/>
      <c r="F223" s="295"/>
      <c r="G223" s="295"/>
      <c r="H223" s="295"/>
      <c r="I223" s="347"/>
      <c r="J223" s="312"/>
      <c r="K223" s="310"/>
      <c r="L223" s="311"/>
      <c r="M223" s="311"/>
      <c r="N223" s="141"/>
      <c r="O223" s="153"/>
      <c r="P223" s="154"/>
      <c r="Q223" s="153"/>
      <c r="R223" s="153"/>
    </row>
    <row r="224" spans="1:18" x14ac:dyDescent="0.25">
      <c r="A224" s="180"/>
      <c r="B224" s="295"/>
      <c r="C224" s="295"/>
      <c r="D224" s="295"/>
      <c r="E224" s="295"/>
      <c r="F224" s="295"/>
      <c r="G224" s="295"/>
      <c r="H224" s="295"/>
      <c r="I224" s="348"/>
      <c r="J224" s="348"/>
      <c r="K224" s="293"/>
      <c r="L224" s="294"/>
      <c r="M224" s="468"/>
      <c r="N224" s="141"/>
      <c r="O224" s="153"/>
      <c r="P224" s="154"/>
      <c r="Q224" s="153"/>
      <c r="R224" s="153"/>
    </row>
    <row r="225" spans="1:18" ht="13.15" customHeight="1" x14ac:dyDescent="0.25">
      <c r="A225" s="180"/>
      <c r="B225" s="564" t="s">
        <v>579</v>
      </c>
      <c r="C225" s="564"/>
      <c r="D225" s="564"/>
      <c r="E225" s="564"/>
      <c r="F225" s="564"/>
      <c r="G225" s="564"/>
      <c r="H225" s="564"/>
      <c r="I225" s="564"/>
      <c r="J225" s="564"/>
      <c r="K225" s="293"/>
      <c r="L225" s="469"/>
      <c r="M225" s="294"/>
      <c r="N225" s="141"/>
      <c r="O225" s="153"/>
      <c r="P225" s="154"/>
      <c r="Q225" s="153"/>
      <c r="R225" s="153"/>
    </row>
    <row r="226" spans="1:18" ht="70.150000000000006" customHeight="1" x14ac:dyDescent="0.25">
      <c r="A226" s="180"/>
      <c r="B226" s="493" t="s">
        <v>634</v>
      </c>
      <c r="C226" s="494"/>
      <c r="D226" s="494"/>
      <c r="E226" s="494"/>
      <c r="F226" s="494"/>
      <c r="G226" s="494"/>
      <c r="H226" s="494"/>
      <c r="I226" s="494"/>
      <c r="J226" s="495"/>
      <c r="K226" s="497" t="s">
        <v>589</v>
      </c>
      <c r="L226" s="498"/>
      <c r="M226" s="317"/>
      <c r="N226" s="141"/>
      <c r="O226" s="153"/>
      <c r="P226" s="154"/>
      <c r="Q226" s="153"/>
      <c r="R226" s="153"/>
    </row>
    <row r="227" spans="1:18" x14ac:dyDescent="0.25">
      <c r="A227" s="180"/>
      <c r="B227" s="489"/>
      <c r="C227" s="489"/>
      <c r="D227" s="489"/>
      <c r="E227" s="489"/>
      <c r="F227" s="489"/>
      <c r="G227" s="489"/>
      <c r="H227" s="489"/>
      <c r="I227" s="489"/>
      <c r="J227" s="489"/>
      <c r="K227" s="293"/>
      <c r="L227" s="294"/>
      <c r="M227" s="294"/>
      <c r="N227" s="141"/>
      <c r="O227" s="153"/>
      <c r="P227" s="154"/>
      <c r="Q227" s="153"/>
      <c r="R227" s="153"/>
    </row>
    <row r="228" spans="1:18" ht="13.15" customHeight="1" x14ac:dyDescent="0.25">
      <c r="A228" s="180"/>
      <c r="B228" s="521" t="s">
        <v>89</v>
      </c>
      <c r="C228" s="521"/>
      <c r="D228" s="521"/>
      <c r="E228" s="521"/>
      <c r="F228" s="521"/>
      <c r="G228" s="521"/>
      <c r="H228" s="521"/>
      <c r="I228" s="521"/>
      <c r="J228" s="521"/>
      <c r="K228" s="293"/>
      <c r="L228" s="294"/>
      <c r="M228" s="294"/>
      <c r="N228" s="141"/>
      <c r="O228" s="153"/>
      <c r="P228" s="154"/>
      <c r="Q228" s="153"/>
      <c r="R228" s="153"/>
    </row>
    <row r="229" spans="1:18" s="245" customFormat="1" ht="103.9" customHeight="1" x14ac:dyDescent="0.25">
      <c r="A229" s="242"/>
      <c r="B229" s="493" t="s">
        <v>635</v>
      </c>
      <c r="C229" s="494"/>
      <c r="D229" s="494"/>
      <c r="E229" s="494"/>
      <c r="F229" s="494"/>
      <c r="G229" s="494"/>
      <c r="H229" s="494"/>
      <c r="I229" s="494"/>
      <c r="J229" s="495"/>
      <c r="K229" s="557" t="s">
        <v>600</v>
      </c>
      <c r="L229" s="558"/>
      <c r="M229" s="559"/>
      <c r="N229" s="391"/>
      <c r="O229" s="243"/>
      <c r="P229" s="244"/>
      <c r="Q229" s="243"/>
      <c r="R229" s="243"/>
    </row>
    <row r="230" spans="1:18" x14ac:dyDescent="0.25">
      <c r="A230" s="180"/>
      <c r="B230" s="138"/>
      <c r="C230" s="138"/>
      <c r="D230" s="138"/>
      <c r="E230" s="138"/>
      <c r="F230" s="138"/>
      <c r="G230" s="138"/>
      <c r="H230" s="138"/>
      <c r="I230" s="246"/>
      <c r="J230" s="246"/>
      <c r="K230" s="156"/>
      <c r="L230" s="157"/>
      <c r="M230" s="162"/>
      <c r="N230" s="141"/>
      <c r="O230" s="153"/>
      <c r="P230" s="154"/>
      <c r="Q230" s="153"/>
      <c r="R230" s="153"/>
    </row>
    <row r="231" spans="1:18" s="23" customFormat="1" ht="65.099999999999994" customHeight="1" x14ac:dyDescent="0.25">
      <c r="A231" s="193"/>
      <c r="B231" s="147"/>
      <c r="C231" s="301" t="s">
        <v>314</v>
      </c>
      <c r="D231" s="149"/>
      <c r="E231" s="150"/>
      <c r="F231" s="150"/>
      <c r="G231" s="150"/>
      <c r="H231" s="148"/>
      <c r="I231" s="509" t="s">
        <v>90</v>
      </c>
      <c r="J231" s="509"/>
      <c r="K231" s="509"/>
      <c r="L231" s="509"/>
      <c r="M231" s="147"/>
      <c r="N231" s="152" t="s">
        <v>393</v>
      </c>
      <c r="O231" s="306" t="s">
        <v>374</v>
      </c>
      <c r="P231" s="307">
        <f>SUM(P232:P244)</f>
        <v>6</v>
      </c>
      <c r="Q231" s="308"/>
      <c r="R231" s="303"/>
    </row>
    <row r="232" spans="1:18" x14ac:dyDescent="0.25">
      <c r="A232" s="188"/>
      <c r="B232" s="166"/>
      <c r="C232" s="166"/>
      <c r="D232" s="166"/>
      <c r="E232" s="166"/>
      <c r="F232" s="166"/>
      <c r="G232" s="166"/>
      <c r="H232" s="166"/>
      <c r="I232" s="175"/>
      <c r="J232" s="175"/>
      <c r="K232" s="399"/>
      <c r="L232" s="400"/>
      <c r="M232" s="409"/>
      <c r="N232" s="167"/>
      <c r="O232" s="153"/>
      <c r="P232" s="154"/>
      <c r="Q232" s="173"/>
      <c r="R232" s="153"/>
    </row>
    <row r="233" spans="1:18" x14ac:dyDescent="0.25">
      <c r="A233" s="182"/>
      <c r="B233" s="138"/>
      <c r="C233" s="138"/>
      <c r="D233" s="138"/>
      <c r="E233" s="138"/>
      <c r="F233" s="138"/>
      <c r="G233" s="138"/>
      <c r="H233" s="138"/>
      <c r="I233" s="136" t="s">
        <v>12</v>
      </c>
      <c r="J233" s="136"/>
      <c r="K233" s="504" t="s">
        <v>13</v>
      </c>
      <c r="L233" s="504"/>
      <c r="M233" s="504"/>
      <c r="N233" s="377" t="s">
        <v>14</v>
      </c>
      <c r="O233" s="153"/>
      <c r="P233" s="154"/>
      <c r="Q233" s="173"/>
      <c r="R233" s="153"/>
    </row>
    <row r="234" spans="1:18" ht="12.75" customHeight="1" x14ac:dyDescent="0.25">
      <c r="A234" s="182"/>
      <c r="B234" s="295" t="s">
        <v>457</v>
      </c>
      <c r="C234" s="295"/>
      <c r="D234" s="295"/>
      <c r="E234" s="295"/>
      <c r="F234" s="295"/>
      <c r="G234" s="295"/>
      <c r="H234" s="295"/>
      <c r="I234" s="496" t="s">
        <v>617</v>
      </c>
      <c r="J234" s="496"/>
      <c r="K234" s="402" t="s">
        <v>297</v>
      </c>
      <c r="L234" s="502" t="s">
        <v>93</v>
      </c>
      <c r="M234" s="508"/>
      <c r="N234" s="377"/>
      <c r="O234" s="153"/>
      <c r="P234" s="154"/>
      <c r="Q234" s="173"/>
      <c r="R234" s="153"/>
    </row>
    <row r="235" spans="1:18" ht="13.15" customHeight="1" x14ac:dyDescent="0.25">
      <c r="A235" s="180"/>
      <c r="B235" s="295" t="s">
        <v>91</v>
      </c>
      <c r="C235" s="295"/>
      <c r="D235" s="295"/>
      <c r="E235" s="295"/>
      <c r="F235" s="295"/>
      <c r="G235" s="295"/>
      <c r="H235" s="295"/>
      <c r="I235" s="496" t="s">
        <v>614</v>
      </c>
      <c r="J235" s="496"/>
      <c r="K235" s="402" t="s">
        <v>297</v>
      </c>
      <c r="L235" s="502" t="s">
        <v>92</v>
      </c>
      <c r="M235" s="508"/>
      <c r="N235" s="501" t="s">
        <v>408</v>
      </c>
      <c r="O235" s="153"/>
      <c r="P235" s="154">
        <f>IF(I235="yes",2,0)</f>
        <v>2</v>
      </c>
      <c r="Q235" s="153"/>
      <c r="R235" s="153"/>
    </row>
    <row r="236" spans="1:18" ht="13.15" customHeight="1" x14ac:dyDescent="0.25">
      <c r="A236" s="180"/>
      <c r="B236" s="295" t="s">
        <v>458</v>
      </c>
      <c r="C236" s="295"/>
      <c r="D236" s="295"/>
      <c r="E236" s="295"/>
      <c r="F236" s="295"/>
      <c r="G236" s="295"/>
      <c r="H236" s="295"/>
      <c r="I236" s="496" t="s">
        <v>614</v>
      </c>
      <c r="J236" s="496"/>
      <c r="K236" s="402" t="s">
        <v>297</v>
      </c>
      <c r="L236" s="470"/>
      <c r="M236" s="470"/>
      <c r="N236" s="501"/>
      <c r="O236" s="153"/>
      <c r="P236" s="154">
        <f>IF(I234="yes",2,0)</f>
        <v>0</v>
      </c>
      <c r="Q236" s="153"/>
      <c r="R236" s="153"/>
    </row>
    <row r="237" spans="1:18" ht="13.15" customHeight="1" x14ac:dyDescent="0.25">
      <c r="A237" s="180"/>
      <c r="B237" s="295" t="s">
        <v>94</v>
      </c>
      <c r="C237" s="295"/>
      <c r="D237" s="295"/>
      <c r="E237" s="295"/>
      <c r="F237" s="295"/>
      <c r="G237" s="295"/>
      <c r="H237" s="295"/>
      <c r="I237" s="496" t="s">
        <v>614</v>
      </c>
      <c r="J237" s="496"/>
      <c r="K237" s="402" t="s">
        <v>297</v>
      </c>
      <c r="L237" s="502" t="s">
        <v>289</v>
      </c>
      <c r="M237" s="508"/>
      <c r="N237" s="501"/>
      <c r="O237" s="153"/>
      <c r="P237" s="154">
        <f>IF(I238="yes",2,0)</f>
        <v>2</v>
      </c>
      <c r="Q237" s="153"/>
      <c r="R237" s="153"/>
    </row>
    <row r="238" spans="1:18" ht="13.15" customHeight="1" x14ac:dyDescent="0.25">
      <c r="A238" s="180"/>
      <c r="B238" s="429" t="s">
        <v>580</v>
      </c>
      <c r="C238" s="295"/>
      <c r="D238" s="295"/>
      <c r="E238" s="295"/>
      <c r="F238" s="295"/>
      <c r="G238" s="295"/>
      <c r="H238" s="295"/>
      <c r="I238" s="496" t="s">
        <v>614</v>
      </c>
      <c r="J238" s="496"/>
      <c r="K238" s="402" t="s">
        <v>297</v>
      </c>
      <c r="L238" s="502" t="s">
        <v>321</v>
      </c>
      <c r="M238" s="508"/>
      <c r="N238" s="501"/>
      <c r="O238" s="153"/>
      <c r="P238" s="154">
        <f>IF(I237="yes",2,0)</f>
        <v>2</v>
      </c>
      <c r="Q238" s="153"/>
      <c r="R238" s="153"/>
    </row>
    <row r="239" spans="1:18" ht="13.15" customHeight="1" x14ac:dyDescent="0.25">
      <c r="A239" s="180"/>
      <c r="B239" s="295" t="s">
        <v>459</v>
      </c>
      <c r="C239" s="295"/>
      <c r="D239" s="295"/>
      <c r="E239" s="294"/>
      <c r="F239" s="294"/>
      <c r="G239" s="294"/>
      <c r="H239" s="294"/>
      <c r="I239" s="496" t="s">
        <v>617</v>
      </c>
      <c r="J239" s="496"/>
      <c r="K239" s="402" t="s">
        <v>297</v>
      </c>
      <c r="L239" s="502" t="s">
        <v>95</v>
      </c>
      <c r="M239" s="508"/>
      <c r="N239" s="501"/>
      <c r="O239" s="153"/>
      <c r="P239" s="154">
        <f>IF(I239="yes",2,0)</f>
        <v>0</v>
      </c>
      <c r="Q239" s="153"/>
      <c r="R239" s="153"/>
    </row>
    <row r="240" spans="1:18" ht="13.15" customHeight="1" x14ac:dyDescent="0.25">
      <c r="A240" s="180"/>
      <c r="B240" s="294" t="s">
        <v>460</v>
      </c>
      <c r="C240" s="294"/>
      <c r="D240" s="294"/>
      <c r="E240" s="319"/>
      <c r="F240" s="319"/>
      <c r="G240" s="319"/>
      <c r="H240" s="294"/>
      <c r="I240" s="144"/>
      <c r="J240" s="144"/>
      <c r="K240" s="434"/>
      <c r="L240" s="296"/>
      <c r="M240" s="296"/>
      <c r="N240" s="501"/>
      <c r="O240" s="153"/>
      <c r="P240" s="154"/>
      <c r="Q240" s="153"/>
      <c r="R240" s="153"/>
    </row>
    <row r="241" spans="1:18" ht="13.15" customHeight="1" x14ac:dyDescent="0.25">
      <c r="A241" s="180"/>
      <c r="B241" s="319"/>
      <c r="C241" s="319"/>
      <c r="D241" s="294"/>
      <c r="E241" s="319"/>
      <c r="F241" s="319"/>
      <c r="G241" s="319"/>
      <c r="H241" s="294"/>
      <c r="I241" s="247"/>
      <c r="J241" s="247"/>
      <c r="K241" s="293"/>
      <c r="L241" s="294"/>
      <c r="M241" s="471"/>
      <c r="N241" s="501"/>
      <c r="O241" s="153"/>
      <c r="P241" s="154"/>
      <c r="Q241" s="153"/>
      <c r="R241" s="153"/>
    </row>
    <row r="242" spans="1:18" ht="18" customHeight="1" x14ac:dyDescent="0.25">
      <c r="A242" s="180"/>
      <c r="B242" s="525" t="s">
        <v>315</v>
      </c>
      <c r="C242" s="525"/>
      <c r="D242" s="525"/>
      <c r="E242" s="319"/>
      <c r="F242" s="319"/>
      <c r="G242" s="319"/>
      <c r="H242" s="294"/>
      <c r="I242" s="138"/>
      <c r="J242" s="138"/>
      <c r="K242" s="293"/>
      <c r="L242" s="295"/>
      <c r="M242" s="295"/>
      <c r="N242" s="501"/>
      <c r="O242" s="153"/>
      <c r="P242" s="154"/>
      <c r="Q242" s="153"/>
      <c r="R242" s="153"/>
    </row>
    <row r="243" spans="1:18" ht="83.45" customHeight="1" x14ac:dyDescent="0.25">
      <c r="A243" s="180"/>
      <c r="B243" s="522" t="s">
        <v>630</v>
      </c>
      <c r="C243" s="522"/>
      <c r="D243" s="522"/>
      <c r="E243" s="522"/>
      <c r="F243" s="522"/>
      <c r="G243" s="522"/>
      <c r="H243" s="522"/>
      <c r="I243" s="522"/>
      <c r="J243" s="522"/>
      <c r="K243" s="533" t="s">
        <v>601</v>
      </c>
      <c r="L243" s="533"/>
      <c r="M243" s="560"/>
      <c r="N243" s="392" t="s">
        <v>409</v>
      </c>
      <c r="O243" s="153"/>
      <c r="P243" s="154"/>
      <c r="Q243" s="153"/>
      <c r="R243" s="153"/>
    </row>
    <row r="244" spans="1:18" x14ac:dyDescent="0.25">
      <c r="A244" s="205"/>
      <c r="B244" s="190"/>
      <c r="C244" s="190"/>
      <c r="D244" s="190"/>
      <c r="E244" s="190"/>
      <c r="F244" s="190"/>
      <c r="G244" s="190"/>
      <c r="H244" s="190"/>
      <c r="I244" s="248"/>
      <c r="J244" s="248"/>
      <c r="K244" s="207"/>
      <c r="L244" s="208"/>
      <c r="M244" s="190"/>
      <c r="N244" s="249"/>
      <c r="O244" s="153"/>
      <c r="P244" s="154"/>
      <c r="Q244" s="153"/>
      <c r="R244" s="153"/>
    </row>
    <row r="245" spans="1:18" s="23" customFormat="1" ht="65.099999999999994" customHeight="1" x14ac:dyDescent="0.25">
      <c r="A245" s="305"/>
      <c r="B245" s="147"/>
      <c r="C245" s="301" t="s">
        <v>316</v>
      </c>
      <c r="D245" s="149"/>
      <c r="E245" s="150"/>
      <c r="F245" s="150"/>
      <c r="G245" s="150"/>
      <c r="H245" s="148"/>
      <c r="I245" s="509" t="s">
        <v>96</v>
      </c>
      <c r="J245" s="509"/>
      <c r="K245" s="509"/>
      <c r="L245" s="509"/>
      <c r="M245" s="147"/>
      <c r="N245" s="152" t="s">
        <v>393</v>
      </c>
      <c r="O245" s="306" t="s">
        <v>375</v>
      </c>
      <c r="P245" s="307">
        <f>SUM(P246:P260)</f>
        <v>2</v>
      </c>
      <c r="Q245" s="318"/>
      <c r="R245" s="303"/>
    </row>
    <row r="246" spans="1:18" x14ac:dyDescent="0.25">
      <c r="A246" s="188"/>
      <c r="B246" s="166"/>
      <c r="C246" s="166"/>
      <c r="D246" s="166"/>
      <c r="E246" s="166"/>
      <c r="F246" s="166"/>
      <c r="G246" s="166"/>
      <c r="H246" s="166"/>
      <c r="I246" s="175"/>
      <c r="J246" s="175"/>
      <c r="K246" s="164"/>
      <c r="L246" s="165"/>
      <c r="M246" s="166"/>
      <c r="N246" s="167"/>
      <c r="O246" s="153"/>
      <c r="P246" s="154"/>
      <c r="Q246" s="173"/>
      <c r="R246" s="153"/>
    </row>
    <row r="247" spans="1:18" x14ac:dyDescent="0.25">
      <c r="A247" s="182"/>
      <c r="B247" s="295"/>
      <c r="C247" s="295"/>
      <c r="D247" s="295"/>
      <c r="E247" s="295"/>
      <c r="F247" s="295"/>
      <c r="G247" s="295"/>
      <c r="H247" s="295"/>
      <c r="I247" s="136" t="s">
        <v>12</v>
      </c>
      <c r="J247" s="136"/>
      <c r="K247" s="504" t="s">
        <v>13</v>
      </c>
      <c r="L247" s="504"/>
      <c r="M247" s="504"/>
      <c r="N247" s="377" t="s">
        <v>14</v>
      </c>
      <c r="O247" s="153"/>
      <c r="P247" s="154"/>
      <c r="Q247" s="173"/>
      <c r="R247" s="153"/>
    </row>
    <row r="248" spans="1:18" ht="15" x14ac:dyDescent="0.2">
      <c r="A248" s="180"/>
      <c r="B248" s="295" t="s">
        <v>357</v>
      </c>
      <c r="C248" s="295"/>
      <c r="D248" s="295"/>
      <c r="E248" s="294"/>
      <c r="F248" s="294"/>
      <c r="G248" s="294"/>
      <c r="H248" s="294"/>
      <c r="I248" s="496" t="s">
        <v>617</v>
      </c>
      <c r="J248" s="496"/>
      <c r="K248" s="402" t="s">
        <v>297</v>
      </c>
      <c r="L248" s="458"/>
      <c r="M248" s="472" t="s">
        <v>102</v>
      </c>
      <c r="N248" s="395" t="s">
        <v>581</v>
      </c>
      <c r="O248" s="153"/>
      <c r="P248" s="154">
        <f>IF(I248="yes",1,0)</f>
        <v>0</v>
      </c>
      <c r="Q248" s="153"/>
      <c r="R248" s="153"/>
    </row>
    <row r="249" spans="1:18" ht="12.75" customHeight="1" x14ac:dyDescent="0.25">
      <c r="A249" s="180"/>
      <c r="B249" s="295" t="s">
        <v>367</v>
      </c>
      <c r="C249" s="295"/>
      <c r="D249" s="295"/>
      <c r="E249" s="294"/>
      <c r="F249" s="294"/>
      <c r="G249" s="294"/>
      <c r="H249" s="294"/>
      <c r="I249" s="544"/>
      <c r="J249" s="545"/>
      <c r="K249" s="402" t="s">
        <v>297</v>
      </c>
      <c r="L249" s="487" t="s">
        <v>378</v>
      </c>
      <c r="M249" s="487"/>
      <c r="N249" s="379"/>
      <c r="O249" s="153"/>
      <c r="P249" s="154">
        <f>IF(I249&lt;0.5,0,IF(I249&lt;0.75,0.5,1))</f>
        <v>0</v>
      </c>
      <c r="Q249" s="153"/>
      <c r="R249" s="153"/>
    </row>
    <row r="250" spans="1:18" ht="13.15" customHeight="1" x14ac:dyDescent="0.25">
      <c r="A250" s="180"/>
      <c r="B250" s="295" t="s">
        <v>394</v>
      </c>
      <c r="C250" s="295"/>
      <c r="D250" s="295"/>
      <c r="E250" s="295"/>
      <c r="F250" s="295"/>
      <c r="G250" s="295"/>
      <c r="H250" s="295"/>
      <c r="I250" s="496" t="s">
        <v>353</v>
      </c>
      <c r="J250" s="496"/>
      <c r="K250" s="402" t="s">
        <v>297</v>
      </c>
      <c r="L250" s="487" t="s">
        <v>354</v>
      </c>
      <c r="M250" s="487"/>
      <c r="N250" s="141"/>
      <c r="O250" s="153"/>
      <c r="P250" s="154"/>
      <c r="Q250" s="153"/>
      <c r="R250" s="153"/>
    </row>
    <row r="251" spans="1:18" ht="13.15" customHeight="1" x14ac:dyDescent="0.25">
      <c r="A251" s="180"/>
      <c r="B251" s="295" t="s">
        <v>97</v>
      </c>
      <c r="C251" s="295"/>
      <c r="D251" s="295"/>
      <c r="E251" s="295"/>
      <c r="F251" s="295"/>
      <c r="G251" s="295"/>
      <c r="H251" s="295"/>
      <c r="I251" s="496" t="s">
        <v>617</v>
      </c>
      <c r="J251" s="496"/>
      <c r="K251" s="402" t="s">
        <v>297</v>
      </c>
      <c r="L251" s="485"/>
      <c r="M251" s="485"/>
      <c r="N251" s="141"/>
      <c r="O251" s="153"/>
      <c r="P251" s="154">
        <f>IF(I251="yes",2,0)</f>
        <v>0</v>
      </c>
      <c r="Q251" s="153"/>
      <c r="R251" s="153"/>
    </row>
    <row r="252" spans="1:18" ht="15" x14ac:dyDescent="0.2">
      <c r="A252" s="180"/>
      <c r="B252" s="295" t="s">
        <v>532</v>
      </c>
      <c r="C252" s="295"/>
      <c r="D252" s="295"/>
      <c r="E252" s="295"/>
      <c r="F252" s="295"/>
      <c r="G252" s="295"/>
      <c r="H252" s="295"/>
      <c r="I252" s="562">
        <v>2017000</v>
      </c>
      <c r="J252" s="562"/>
      <c r="K252" s="403" t="s">
        <v>530</v>
      </c>
      <c r="L252" s="561" t="s">
        <v>531</v>
      </c>
      <c r="M252" s="561"/>
      <c r="N252" s="395" t="s">
        <v>582</v>
      </c>
      <c r="O252" s="153"/>
      <c r="P252" s="203"/>
      <c r="Q252" s="153"/>
      <c r="R252" s="153"/>
    </row>
    <row r="253" spans="1:18" ht="15" x14ac:dyDescent="0.2">
      <c r="A253" s="180"/>
      <c r="B253" s="295" t="s">
        <v>379</v>
      </c>
      <c r="C253" s="295"/>
      <c r="D253" s="295"/>
      <c r="E253" s="294"/>
      <c r="F253" s="294"/>
      <c r="G253" s="294"/>
      <c r="H253" s="294"/>
      <c r="I253" s="496" t="s">
        <v>614</v>
      </c>
      <c r="J253" s="496"/>
      <c r="K253" s="402" t="s">
        <v>297</v>
      </c>
      <c r="L253" s="542"/>
      <c r="M253" s="542"/>
      <c r="N253" s="395" t="s">
        <v>591</v>
      </c>
      <c r="O253" s="153"/>
      <c r="P253" s="154">
        <f>IF(I253="yes",2,0)</f>
        <v>2</v>
      </c>
      <c r="Q253" s="153"/>
      <c r="R253" s="153"/>
    </row>
    <row r="254" spans="1:18" ht="13.15" customHeight="1" x14ac:dyDescent="0.25">
      <c r="A254" s="180"/>
      <c r="B254" s="295" t="s">
        <v>395</v>
      </c>
      <c r="C254" s="295"/>
      <c r="D254" s="295"/>
      <c r="E254" s="294"/>
      <c r="F254" s="294"/>
      <c r="G254" s="294"/>
      <c r="H254" s="294"/>
      <c r="I254" s="491" t="s">
        <v>358</v>
      </c>
      <c r="J254" s="492"/>
      <c r="K254" s="402" t="s">
        <v>297</v>
      </c>
      <c r="L254" s="487" t="s">
        <v>317</v>
      </c>
      <c r="M254" s="487"/>
      <c r="N254" s="395" t="s">
        <v>590</v>
      </c>
      <c r="O254" s="153"/>
      <c r="P254" s="154"/>
      <c r="Q254" s="153"/>
      <c r="R254" s="153"/>
    </row>
    <row r="255" spans="1:18" x14ac:dyDescent="0.2">
      <c r="A255" s="180"/>
      <c r="B255" s="295" t="s">
        <v>98</v>
      </c>
      <c r="C255" s="295"/>
      <c r="D255" s="295"/>
      <c r="E255" s="295"/>
      <c r="F255" s="295"/>
      <c r="G255" s="295"/>
      <c r="H255" s="295"/>
      <c r="I255" s="496" t="s">
        <v>617</v>
      </c>
      <c r="J255" s="496"/>
      <c r="K255" s="402" t="s">
        <v>297</v>
      </c>
      <c r="L255" s="542" t="s">
        <v>99</v>
      </c>
      <c r="M255" s="542"/>
      <c r="N255" s="378"/>
      <c r="O255" s="153"/>
      <c r="P255" s="154">
        <f>IF(I255="yes",2,0)</f>
        <v>0</v>
      </c>
      <c r="Q255" s="153"/>
      <c r="R255" s="153"/>
    </row>
    <row r="256" spans="1:18" x14ac:dyDescent="0.2">
      <c r="A256" s="180"/>
      <c r="B256" s="295" t="s">
        <v>100</v>
      </c>
      <c r="C256" s="295"/>
      <c r="D256" s="295"/>
      <c r="E256" s="295"/>
      <c r="F256" s="295"/>
      <c r="G256" s="295"/>
      <c r="H256" s="295"/>
      <c r="I256" s="496" t="s">
        <v>617</v>
      </c>
      <c r="J256" s="496"/>
      <c r="K256" s="402" t="s">
        <v>297</v>
      </c>
      <c r="L256" s="542" t="s">
        <v>101</v>
      </c>
      <c r="M256" s="542"/>
      <c r="N256" s="378"/>
      <c r="O256" s="153"/>
      <c r="P256" s="154">
        <f>IF(I256="yes",2,0)</f>
        <v>0</v>
      </c>
      <c r="Q256" s="153"/>
      <c r="R256" s="153"/>
    </row>
    <row r="257" spans="1:18" x14ac:dyDescent="0.2">
      <c r="A257" s="180"/>
      <c r="B257" s="319"/>
      <c r="C257" s="319"/>
      <c r="D257" s="294"/>
      <c r="E257" s="319"/>
      <c r="F257" s="319"/>
      <c r="G257" s="319"/>
      <c r="H257" s="294"/>
      <c r="I257" s="247"/>
      <c r="J257" s="247"/>
      <c r="K257" s="293"/>
      <c r="L257" s="458"/>
      <c r="M257" s="472"/>
      <c r="N257" s="379"/>
      <c r="O257" s="153"/>
      <c r="P257" s="154"/>
      <c r="Q257" s="153"/>
      <c r="R257" s="153"/>
    </row>
    <row r="258" spans="1:18" x14ac:dyDescent="0.25">
      <c r="A258" s="180"/>
      <c r="B258" s="525" t="s">
        <v>103</v>
      </c>
      <c r="C258" s="525"/>
      <c r="D258" s="525"/>
      <c r="E258" s="319"/>
      <c r="F258" s="319"/>
      <c r="G258" s="319"/>
      <c r="H258" s="294"/>
      <c r="I258" s="138"/>
      <c r="J258" s="138"/>
      <c r="K258" s="293"/>
      <c r="L258" s="439"/>
      <c r="M258" s="439"/>
      <c r="N258" s="141"/>
      <c r="O258" s="153"/>
      <c r="P258" s="154"/>
      <c r="Q258" s="153"/>
      <c r="R258" s="153"/>
    </row>
    <row r="259" spans="1:18" s="245" customFormat="1" ht="136.15" customHeight="1" x14ac:dyDescent="0.25">
      <c r="A259" s="242"/>
      <c r="B259" s="493" t="s">
        <v>636</v>
      </c>
      <c r="C259" s="494"/>
      <c r="D259" s="494"/>
      <c r="E259" s="494"/>
      <c r="F259" s="494"/>
      <c r="G259" s="494"/>
      <c r="H259" s="494"/>
      <c r="I259" s="494"/>
      <c r="J259" s="495"/>
      <c r="K259" s="533" t="s">
        <v>602</v>
      </c>
      <c r="L259" s="533"/>
      <c r="M259" s="533"/>
      <c r="N259" s="396" t="s">
        <v>593</v>
      </c>
      <c r="O259" s="243"/>
      <c r="P259" s="244"/>
      <c r="Q259" s="243"/>
      <c r="R259" s="243"/>
    </row>
    <row r="260" spans="1:18" x14ac:dyDescent="0.25">
      <c r="A260" s="205"/>
      <c r="B260" s="250"/>
      <c r="C260" s="250"/>
      <c r="D260" s="190"/>
      <c r="E260" s="250"/>
      <c r="F260" s="250"/>
      <c r="G260" s="250"/>
      <c r="H260" s="190"/>
      <c r="I260" s="206"/>
      <c r="J260" s="206"/>
      <c r="K260" s="251"/>
      <c r="L260" s="252"/>
      <c r="M260" s="253"/>
      <c r="N260" s="254"/>
      <c r="O260" s="153"/>
      <c r="P260" s="154"/>
      <c r="Q260" s="153"/>
      <c r="R260" s="153"/>
    </row>
    <row r="261" spans="1:18" s="23" customFormat="1" ht="65.099999999999994" customHeight="1" x14ac:dyDescent="0.25">
      <c r="A261" s="305"/>
      <c r="B261" s="147"/>
      <c r="C261" s="301" t="s">
        <v>318</v>
      </c>
      <c r="D261" s="149"/>
      <c r="E261" s="150"/>
      <c r="F261" s="150"/>
      <c r="G261" s="150"/>
      <c r="H261" s="148"/>
      <c r="I261" s="509" t="s">
        <v>104</v>
      </c>
      <c r="J261" s="509"/>
      <c r="K261" s="509"/>
      <c r="L261" s="509"/>
      <c r="M261" s="147"/>
      <c r="N261" s="393" t="s">
        <v>393</v>
      </c>
      <c r="O261" s="306" t="s">
        <v>376</v>
      </c>
      <c r="P261" s="307">
        <f>SUM(P262:P270)</f>
        <v>7.2222222222222232</v>
      </c>
      <c r="Q261" s="318"/>
      <c r="R261" s="303"/>
    </row>
    <row r="262" spans="1:18" x14ac:dyDescent="0.25">
      <c r="A262" s="188"/>
      <c r="B262" s="409"/>
      <c r="C262" s="409"/>
      <c r="D262" s="409"/>
      <c r="E262" s="409"/>
      <c r="F262" s="409"/>
      <c r="G262" s="409"/>
      <c r="H262" s="409"/>
      <c r="I262" s="255"/>
      <c r="J262" s="255"/>
      <c r="K262" s="164"/>
      <c r="L262" s="165"/>
      <c r="M262" s="202"/>
      <c r="N262" s="167"/>
      <c r="O262" s="153"/>
      <c r="P262" s="154"/>
      <c r="Q262" s="173"/>
      <c r="R262" s="153"/>
    </row>
    <row r="263" spans="1:18" x14ac:dyDescent="0.25">
      <c r="A263" s="182"/>
      <c r="B263" s="295"/>
      <c r="C263" s="295"/>
      <c r="D263" s="295"/>
      <c r="E263" s="295"/>
      <c r="F263" s="295"/>
      <c r="G263" s="295"/>
      <c r="H263" s="295"/>
      <c r="I263" s="297" t="s">
        <v>12</v>
      </c>
      <c r="J263" s="297"/>
      <c r="K263" s="504" t="s">
        <v>13</v>
      </c>
      <c r="L263" s="504"/>
      <c r="M263" s="504"/>
      <c r="N263" s="377" t="s">
        <v>14</v>
      </c>
      <c r="O263" s="153"/>
      <c r="P263" s="154"/>
      <c r="Q263" s="173"/>
      <c r="R263" s="153"/>
    </row>
    <row r="264" spans="1:18" ht="13.15" customHeight="1" x14ac:dyDescent="0.25">
      <c r="A264" s="180"/>
      <c r="B264" s="295" t="s">
        <v>105</v>
      </c>
      <c r="C264" s="295"/>
      <c r="D264" s="295"/>
      <c r="E264" s="295"/>
      <c r="F264" s="295"/>
      <c r="G264" s="295"/>
      <c r="H264" s="295"/>
      <c r="I264" s="496" t="s">
        <v>620</v>
      </c>
      <c r="J264" s="496"/>
      <c r="K264" s="293"/>
      <c r="L264" s="487" t="s">
        <v>396</v>
      </c>
      <c r="M264" s="488"/>
      <c r="N264" s="141"/>
      <c r="O264" s="153"/>
      <c r="P264" s="154">
        <f>IF(I264&gt;=100,(10/ROWS($I$264:$J$269)),0)</f>
        <v>1.6666666666666667</v>
      </c>
      <c r="Q264" s="153"/>
      <c r="R264" s="153"/>
    </row>
    <row r="265" spans="1:18" ht="30" x14ac:dyDescent="0.2">
      <c r="A265" s="180"/>
      <c r="B265" s="295" t="s">
        <v>280</v>
      </c>
      <c r="C265" s="295"/>
      <c r="D265" s="295"/>
      <c r="E265" s="295"/>
      <c r="F265" s="295"/>
      <c r="G265" s="295"/>
      <c r="H265" s="295"/>
      <c r="I265" s="496" t="s">
        <v>617</v>
      </c>
      <c r="J265" s="496"/>
      <c r="K265" s="402" t="s">
        <v>297</v>
      </c>
      <c r="L265" s="540" t="s">
        <v>106</v>
      </c>
      <c r="M265" s="541"/>
      <c r="N265" s="395" t="s">
        <v>583</v>
      </c>
      <c r="O265" s="153"/>
      <c r="P265" s="154">
        <f>IF(I265="YES",(10/ROWS($I$264:$J$269)),0)</f>
        <v>0</v>
      </c>
      <c r="Q265" s="153"/>
      <c r="R265" s="153"/>
    </row>
    <row r="266" spans="1:18" x14ac:dyDescent="0.2">
      <c r="A266" s="180"/>
      <c r="B266" s="295" t="s">
        <v>107</v>
      </c>
      <c r="C266" s="295"/>
      <c r="D266" s="295"/>
      <c r="E266" s="295"/>
      <c r="F266" s="295"/>
      <c r="G266" s="295"/>
      <c r="H266" s="295"/>
      <c r="I266" s="496" t="s">
        <v>614</v>
      </c>
      <c r="J266" s="496"/>
      <c r="K266" s="402" t="s">
        <v>297</v>
      </c>
      <c r="L266" s="540" t="s">
        <v>108</v>
      </c>
      <c r="M266" s="541"/>
      <c r="N266" s="141"/>
      <c r="O266" s="153"/>
      <c r="P266" s="154">
        <f>IF(I266="YES",(10/ROWS($I$264:$J$269)),0)</f>
        <v>1.6666666666666667</v>
      </c>
      <c r="Q266" s="153"/>
      <c r="R266" s="153"/>
    </row>
    <row r="267" spans="1:18" x14ac:dyDescent="0.2">
      <c r="A267" s="180"/>
      <c r="B267" s="295" t="s">
        <v>109</v>
      </c>
      <c r="C267" s="295"/>
      <c r="D267" s="295"/>
      <c r="E267" s="295"/>
      <c r="F267" s="295"/>
      <c r="G267" s="295"/>
      <c r="H267" s="295"/>
      <c r="I267" s="496" t="s">
        <v>382</v>
      </c>
      <c r="J267" s="496"/>
      <c r="K267" s="402" t="s">
        <v>297</v>
      </c>
      <c r="L267" s="540" t="s">
        <v>385</v>
      </c>
      <c r="M267" s="541"/>
      <c r="N267" s="141"/>
      <c r="O267" s="153"/>
      <c r="P267" s="154">
        <f>VLOOKUP(I267,Dropdowns!H13:I16,2,FALSE)</f>
        <v>0.55555555555555558</v>
      </c>
      <c r="Q267" s="153"/>
      <c r="R267" s="153"/>
    </row>
    <row r="268" spans="1:18" ht="13.15" customHeight="1" x14ac:dyDescent="0.25">
      <c r="A268" s="180"/>
      <c r="B268" s="295" t="s">
        <v>463</v>
      </c>
      <c r="C268" s="414"/>
      <c r="D268" s="414"/>
      <c r="E268" s="319"/>
      <c r="F268" s="319"/>
      <c r="G268" s="319"/>
      <c r="H268" s="294"/>
      <c r="I268" s="491" t="s">
        <v>614</v>
      </c>
      <c r="J268" s="492"/>
      <c r="K268" s="402" t="s">
        <v>297</v>
      </c>
      <c r="L268" s="555" t="s">
        <v>110</v>
      </c>
      <c r="M268" s="556"/>
      <c r="N268" s="141"/>
      <c r="O268" s="153"/>
      <c r="P268" s="154">
        <f>IF(I268="YES",(10/ROWS($I$264:$J$269)),0)</f>
        <v>1.6666666666666667</v>
      </c>
      <c r="Q268" s="153"/>
      <c r="R268" s="153"/>
    </row>
    <row r="269" spans="1:18" x14ac:dyDescent="0.2">
      <c r="A269" s="180"/>
      <c r="B269" s="295" t="s">
        <v>111</v>
      </c>
      <c r="C269" s="295"/>
      <c r="D269" s="295"/>
      <c r="E269" s="295"/>
      <c r="F269" s="295"/>
      <c r="G269" s="295"/>
      <c r="H269" s="295"/>
      <c r="I269" s="496" t="s">
        <v>324</v>
      </c>
      <c r="J269" s="496"/>
      <c r="K269" s="402" t="s">
        <v>297</v>
      </c>
      <c r="L269" s="540" t="s">
        <v>112</v>
      </c>
      <c r="M269" s="541"/>
      <c r="N269" s="141"/>
      <c r="O269" s="153"/>
      <c r="P269" s="154">
        <f>IF(I269="",0,(10/ROWS($I$264:$J$269)))</f>
        <v>1.6666666666666667</v>
      </c>
      <c r="Q269" s="153"/>
      <c r="R269" s="153"/>
    </row>
    <row r="270" spans="1:18" x14ac:dyDescent="0.2">
      <c r="A270" s="180"/>
      <c r="B270" s="295" t="s">
        <v>323</v>
      </c>
      <c r="C270" s="295"/>
      <c r="D270" s="295"/>
      <c r="E270" s="422"/>
      <c r="F270" s="422"/>
      <c r="G270" s="422"/>
      <c r="H270" s="309"/>
      <c r="I270" s="491" t="s">
        <v>325</v>
      </c>
      <c r="J270" s="492"/>
      <c r="K270" s="402"/>
      <c r="L270" s="473"/>
      <c r="M270" s="474"/>
      <c r="N270" s="141"/>
      <c r="O270" s="153"/>
      <c r="P270" s="154"/>
      <c r="Q270" s="153"/>
      <c r="R270" s="153"/>
    </row>
    <row r="271" spans="1:18" x14ac:dyDescent="0.25">
      <c r="A271" s="180"/>
      <c r="B271" s="295"/>
      <c r="C271" s="295"/>
      <c r="D271" s="295"/>
      <c r="E271" s="295"/>
      <c r="F271" s="295"/>
      <c r="G271" s="295"/>
      <c r="H271" s="295"/>
      <c r="I271" s="158"/>
      <c r="J271" s="158"/>
      <c r="K271" s="293"/>
      <c r="L271" s="294"/>
      <c r="M271" s="404"/>
      <c r="N271" s="141"/>
      <c r="O271" s="153"/>
      <c r="P271" s="154"/>
      <c r="Q271" s="153"/>
      <c r="R271" s="153"/>
    </row>
    <row r="272" spans="1:18" x14ac:dyDescent="0.25">
      <c r="A272" s="180"/>
      <c r="B272" s="423" t="s">
        <v>113</v>
      </c>
      <c r="C272" s="423"/>
      <c r="D272" s="424"/>
      <c r="E272" s="424"/>
      <c r="F272" s="424"/>
      <c r="G272" s="424"/>
      <c r="H272" s="424"/>
      <c r="I272" s="168"/>
      <c r="J272" s="168"/>
      <c r="K272" s="403"/>
      <c r="L272" s="429"/>
      <c r="M272" s="475"/>
      <c r="N272" s="141"/>
      <c r="O272" s="153"/>
      <c r="P272" s="154"/>
      <c r="Q272" s="153"/>
      <c r="R272" s="153"/>
    </row>
    <row r="273" spans="1:18" ht="160.15" customHeight="1" x14ac:dyDescent="0.25">
      <c r="A273" s="180"/>
      <c r="B273" s="522" t="s">
        <v>631</v>
      </c>
      <c r="C273" s="522"/>
      <c r="D273" s="522"/>
      <c r="E273" s="522"/>
      <c r="F273" s="522"/>
      <c r="G273" s="522"/>
      <c r="H273" s="522"/>
      <c r="I273" s="522"/>
      <c r="J273" s="522"/>
      <c r="K273" s="503" t="s">
        <v>603</v>
      </c>
      <c r="L273" s="503"/>
      <c r="M273" s="539"/>
      <c r="N273" s="141"/>
      <c r="O273" s="153"/>
      <c r="P273" s="154"/>
      <c r="Q273" s="153"/>
      <c r="R273" s="153"/>
    </row>
    <row r="274" spans="1:18" x14ac:dyDescent="0.25">
      <c r="A274" s="180"/>
      <c r="B274" s="256"/>
      <c r="C274" s="256"/>
      <c r="D274" s="256"/>
      <c r="E274" s="256"/>
      <c r="F274" s="256"/>
      <c r="G274" s="256"/>
      <c r="H274" s="256"/>
      <c r="I274" s="257"/>
      <c r="J274" s="257"/>
      <c r="K274" s="156"/>
      <c r="L274" s="157"/>
      <c r="M274" s="258"/>
      <c r="N274" s="141"/>
      <c r="O274" s="153"/>
      <c r="P274" s="154"/>
      <c r="Q274" s="153"/>
      <c r="R274" s="153"/>
    </row>
    <row r="275" spans="1:18" s="23" customFormat="1" ht="65.099999999999994" customHeight="1" x14ac:dyDescent="0.25">
      <c r="A275" s="299"/>
      <c r="B275" s="147"/>
      <c r="C275" s="301" t="s">
        <v>319</v>
      </c>
      <c r="D275" s="149"/>
      <c r="E275" s="150"/>
      <c r="F275" s="150"/>
      <c r="G275" s="150"/>
      <c r="H275" s="148"/>
      <c r="I275" s="509" t="s">
        <v>397</v>
      </c>
      <c r="J275" s="509"/>
      <c r="K275" s="509"/>
      <c r="L275" s="509"/>
      <c r="M275" s="147"/>
      <c r="N275" s="152" t="s">
        <v>393</v>
      </c>
      <c r="O275" s="306" t="s">
        <v>377</v>
      </c>
      <c r="P275" s="307">
        <f>SUM(P276:P284)</f>
        <v>3.3333333333333335</v>
      </c>
      <c r="Q275" s="308"/>
      <c r="R275" s="303"/>
    </row>
    <row r="276" spans="1:18" x14ac:dyDescent="0.25">
      <c r="A276" s="174"/>
      <c r="B276" s="166"/>
      <c r="C276" s="166"/>
      <c r="D276" s="166"/>
      <c r="E276" s="166"/>
      <c r="F276" s="166"/>
      <c r="G276" s="166"/>
      <c r="H276" s="166"/>
      <c r="I276" s="259"/>
      <c r="J276" s="259"/>
      <c r="K276" s="164"/>
      <c r="L276" s="165"/>
      <c r="M276" s="166"/>
      <c r="N276" s="167"/>
      <c r="O276" s="153"/>
      <c r="P276" s="154"/>
      <c r="Q276" s="153"/>
      <c r="R276" s="153"/>
    </row>
    <row r="277" spans="1:18" x14ac:dyDescent="0.25">
      <c r="A277" s="180"/>
      <c r="B277" s="295"/>
      <c r="C277" s="295"/>
      <c r="D277" s="295"/>
      <c r="E277" s="295"/>
      <c r="F277" s="295"/>
      <c r="G277" s="295"/>
      <c r="H277" s="295"/>
      <c r="I277" s="136" t="s">
        <v>12</v>
      </c>
      <c r="J277" s="136"/>
      <c r="K277" s="504" t="s">
        <v>13</v>
      </c>
      <c r="L277" s="504"/>
      <c r="M277" s="504"/>
      <c r="N277" s="377" t="s">
        <v>14</v>
      </c>
      <c r="O277" s="153"/>
      <c r="P277" s="154"/>
      <c r="Q277" s="153"/>
      <c r="R277" s="153"/>
    </row>
    <row r="278" spans="1:18" ht="13.15" customHeight="1" x14ac:dyDescent="0.25">
      <c r="A278" s="180"/>
      <c r="B278" s="525" t="s">
        <v>290</v>
      </c>
      <c r="C278" s="525"/>
      <c r="D278" s="525"/>
      <c r="E278" s="319"/>
      <c r="F278" s="319"/>
      <c r="G278" s="319"/>
      <c r="H278" s="294"/>
      <c r="I278" s="496" t="s">
        <v>617</v>
      </c>
      <c r="J278" s="496"/>
      <c r="K278" s="402" t="s">
        <v>297</v>
      </c>
      <c r="L278" s="485" t="s">
        <v>114</v>
      </c>
      <c r="M278" s="486"/>
      <c r="N278" s="382"/>
      <c r="O278" s="153"/>
      <c r="P278" s="154">
        <f>IF(I278="yes",(10/ROWS($I$278:$J$280)),0)</f>
        <v>0</v>
      </c>
      <c r="Q278" s="153"/>
      <c r="R278" s="153"/>
    </row>
    <row r="279" spans="1:18" ht="13.15" customHeight="1" x14ac:dyDescent="0.25">
      <c r="A279" s="180"/>
      <c r="B279" s="295" t="s">
        <v>291</v>
      </c>
      <c r="C279" s="295"/>
      <c r="D279" s="295"/>
      <c r="E279" s="295"/>
      <c r="F279" s="295"/>
      <c r="G279" s="295"/>
      <c r="H279" s="295"/>
      <c r="I279" s="496" t="s">
        <v>614</v>
      </c>
      <c r="J279" s="496"/>
      <c r="K279" s="402" t="s">
        <v>297</v>
      </c>
      <c r="L279" s="485" t="s">
        <v>115</v>
      </c>
      <c r="M279" s="486"/>
      <c r="N279" s="382"/>
      <c r="O279" s="153"/>
      <c r="P279" s="154">
        <f>IF(I279="yes",(10/ROWS($I$278:$J$280)),0)</f>
        <v>3.3333333333333335</v>
      </c>
      <c r="Q279" s="153"/>
      <c r="R279" s="153"/>
    </row>
    <row r="280" spans="1:18" ht="13.15" customHeight="1" x14ac:dyDescent="0.25">
      <c r="A280" s="180"/>
      <c r="B280" s="295" t="s">
        <v>292</v>
      </c>
      <c r="C280" s="295"/>
      <c r="D280" s="295"/>
      <c r="E280" s="295"/>
      <c r="F280" s="295"/>
      <c r="G280" s="295"/>
      <c r="H280" s="295"/>
      <c r="I280" s="496" t="s">
        <v>617</v>
      </c>
      <c r="J280" s="496"/>
      <c r="K280" s="402" t="s">
        <v>297</v>
      </c>
      <c r="L280" s="485" t="s">
        <v>116</v>
      </c>
      <c r="M280" s="486"/>
      <c r="N280" s="141"/>
      <c r="O280" s="153"/>
      <c r="P280" s="154">
        <f>IF(I280="yes",(10/ROWS($I$278:$J$280)),0)</f>
        <v>0</v>
      </c>
      <c r="Q280" s="153"/>
      <c r="R280" s="153"/>
    </row>
    <row r="281" spans="1:18" x14ac:dyDescent="0.25">
      <c r="A281" s="180"/>
      <c r="B281" s="295"/>
      <c r="C281" s="295"/>
      <c r="D281" s="295"/>
      <c r="E281" s="295"/>
      <c r="F281" s="295"/>
      <c r="G281" s="295"/>
      <c r="H281" s="295"/>
      <c r="I281" s="158"/>
      <c r="J281" s="158"/>
      <c r="K281" s="293"/>
      <c r="L281" s="294"/>
      <c r="M281" s="476"/>
      <c r="N281" s="141"/>
      <c r="O281" s="153"/>
      <c r="P281" s="154"/>
      <c r="Q281" s="153"/>
      <c r="R281" s="153"/>
    </row>
    <row r="282" spans="1:18" x14ac:dyDescent="0.25">
      <c r="A282" s="260"/>
      <c r="B282" s="525" t="s">
        <v>117</v>
      </c>
      <c r="C282" s="525"/>
      <c r="D282" s="525"/>
      <c r="E282" s="319"/>
      <c r="F282" s="319"/>
      <c r="G282" s="319"/>
      <c r="H282" s="294"/>
      <c r="I282" s="190"/>
      <c r="J282" s="138"/>
      <c r="K282" s="293"/>
      <c r="L282" s="295"/>
      <c r="M282" s="295"/>
      <c r="N282" s="141"/>
      <c r="O282" s="153"/>
      <c r="P282" s="154"/>
      <c r="Q282" s="153"/>
      <c r="R282" s="153"/>
    </row>
    <row r="283" spans="1:18" s="142" customFormat="1" ht="160.15" customHeight="1" x14ac:dyDescent="0.25">
      <c r="A283" s="261"/>
      <c r="B283" s="522" t="s">
        <v>632</v>
      </c>
      <c r="C283" s="522"/>
      <c r="D283" s="522"/>
      <c r="E283" s="522"/>
      <c r="F283" s="522"/>
      <c r="G283" s="522"/>
      <c r="H283" s="522"/>
      <c r="I283" s="522"/>
      <c r="J283" s="522"/>
      <c r="K283" s="537" t="s">
        <v>604</v>
      </c>
      <c r="L283" s="537"/>
      <c r="M283" s="538"/>
      <c r="N283" s="141"/>
      <c r="O283" s="262"/>
      <c r="P283" s="154"/>
      <c r="Q283" s="262"/>
      <c r="R283" s="262"/>
    </row>
    <row r="284" spans="1:18" x14ac:dyDescent="0.25">
      <c r="A284" s="263"/>
      <c r="B284" s="190"/>
      <c r="C284" s="190"/>
      <c r="D284" s="190"/>
      <c r="E284" s="190"/>
      <c r="F284" s="190"/>
      <c r="G284" s="190"/>
      <c r="H284" s="190"/>
      <c r="I284" s="511"/>
      <c r="J284" s="512"/>
      <c r="K284" s="207"/>
      <c r="L284" s="208"/>
      <c r="M284" s="190"/>
      <c r="N284" s="209"/>
      <c r="O284" s="153"/>
      <c r="P284" s="154"/>
      <c r="Q284" s="153"/>
      <c r="R284" s="153"/>
    </row>
    <row r="285" spans="1:18" s="269" customFormat="1" x14ac:dyDescent="0.25">
      <c r="A285" s="264"/>
      <c r="B285" s="264"/>
      <c r="C285" s="264"/>
      <c r="D285" s="264"/>
      <c r="E285" s="264"/>
      <c r="F285" s="264"/>
      <c r="G285" s="264"/>
      <c r="H285" s="264"/>
      <c r="I285" s="265"/>
      <c r="J285" s="265"/>
      <c r="K285" s="266"/>
      <c r="L285" s="267"/>
      <c r="M285" s="264"/>
      <c r="N285" s="268"/>
      <c r="O285" s="153"/>
      <c r="P285" s="154"/>
      <c r="Q285" s="153"/>
      <c r="R285" s="153"/>
    </row>
    <row r="286" spans="1:18" s="269" customFormat="1" x14ac:dyDescent="0.25">
      <c r="A286" s="264"/>
      <c r="B286" s="153"/>
      <c r="C286" s="153"/>
      <c r="D286" s="270" t="s">
        <v>118</v>
      </c>
      <c r="E286" s="199"/>
      <c r="F286" s="271" t="s">
        <v>119</v>
      </c>
      <c r="G286" s="272"/>
      <c r="H286" s="272"/>
      <c r="I286" s="272"/>
      <c r="J286" s="272"/>
      <c r="K286" s="266"/>
      <c r="L286" s="267"/>
      <c r="M286" s="267"/>
      <c r="N286" s="266"/>
      <c r="O286" s="153"/>
      <c r="P286" s="154"/>
      <c r="Q286" s="153"/>
      <c r="R286" s="153"/>
    </row>
    <row r="287" spans="1:18" s="269" customFormat="1" x14ac:dyDescent="0.25">
      <c r="A287" s="264"/>
      <c r="B287" s="153"/>
      <c r="C287" s="153"/>
      <c r="D287" s="273" t="s">
        <v>141</v>
      </c>
      <c r="E287" s="274"/>
      <c r="F287" s="199"/>
      <c r="G287" s="272"/>
      <c r="H287" s="272"/>
      <c r="I287" s="272"/>
      <c r="J287" s="272"/>
      <c r="K287" s="266"/>
      <c r="L287" s="267"/>
      <c r="M287" s="267"/>
      <c r="N287" s="266"/>
      <c r="O287" s="153"/>
      <c r="P287" s="154"/>
      <c r="Q287" s="153"/>
      <c r="R287" s="153"/>
    </row>
    <row r="288" spans="1:18" s="269" customFormat="1" x14ac:dyDescent="0.25">
      <c r="A288" s="264"/>
      <c r="B288" s="153"/>
      <c r="C288" s="153"/>
      <c r="D288" s="273" t="s">
        <v>86</v>
      </c>
      <c r="E288" s="275">
        <v>0.1</v>
      </c>
      <c r="F288" s="199">
        <v>2006</v>
      </c>
      <c r="G288" s="276">
        <v>0.5</v>
      </c>
      <c r="H288" s="276"/>
      <c r="I288" s="276"/>
      <c r="J288" s="276"/>
      <c r="K288" s="277"/>
      <c r="L288" s="278"/>
      <c r="M288" s="278"/>
      <c r="N288" s="277"/>
      <c r="O288" s="153"/>
      <c r="P288" s="154"/>
      <c r="Q288" s="153"/>
      <c r="R288" s="153"/>
    </row>
    <row r="289" spans="1:18" s="269" customFormat="1" x14ac:dyDescent="0.25">
      <c r="A289" s="264"/>
      <c r="B289" s="153"/>
      <c r="C289" s="153"/>
      <c r="D289" s="273" t="s">
        <v>120</v>
      </c>
      <c r="E289" s="275">
        <v>0.2</v>
      </c>
      <c r="F289" s="199">
        <v>2007</v>
      </c>
      <c r="G289" s="276">
        <v>0.5</v>
      </c>
      <c r="H289" s="276"/>
      <c r="I289" s="276"/>
      <c r="J289" s="276"/>
      <c r="K289" s="277"/>
      <c r="L289" s="278"/>
      <c r="M289" s="278"/>
      <c r="N289" s="277"/>
      <c r="O289" s="153"/>
      <c r="P289" s="154"/>
      <c r="Q289" s="153"/>
      <c r="R289" s="153"/>
    </row>
    <row r="290" spans="1:18" s="269" customFormat="1" x14ac:dyDescent="0.25">
      <c r="A290" s="264"/>
      <c r="B290" s="153"/>
      <c r="C290" s="153"/>
      <c r="D290" s="273" t="s">
        <v>121</v>
      </c>
      <c r="E290" s="275">
        <v>0.25</v>
      </c>
      <c r="F290" s="199">
        <v>2008</v>
      </c>
      <c r="G290" s="276">
        <v>0.5</v>
      </c>
      <c r="H290" s="276"/>
      <c r="I290" s="276"/>
      <c r="J290" s="276"/>
      <c r="K290" s="277"/>
      <c r="L290" s="278"/>
      <c r="M290" s="278"/>
      <c r="N290" s="277"/>
      <c r="O290" s="153"/>
      <c r="P290" s="154"/>
      <c r="Q290" s="153"/>
      <c r="R290" s="153"/>
    </row>
    <row r="291" spans="1:18" s="269" customFormat="1" x14ac:dyDescent="0.25">
      <c r="A291" s="264"/>
      <c r="B291" s="153"/>
      <c r="C291" s="153"/>
      <c r="D291" s="273" t="s">
        <v>122</v>
      </c>
      <c r="E291" s="275">
        <v>0.4</v>
      </c>
      <c r="F291" s="199">
        <v>2009</v>
      </c>
      <c r="G291" s="276">
        <v>0.5</v>
      </c>
      <c r="H291" s="276"/>
      <c r="I291" s="276"/>
      <c r="J291" s="276"/>
      <c r="K291" s="277"/>
      <c r="L291" s="278"/>
      <c r="M291" s="278"/>
      <c r="N291" s="277"/>
      <c r="O291" s="153"/>
      <c r="P291" s="154"/>
      <c r="Q291" s="153"/>
      <c r="R291" s="153"/>
    </row>
    <row r="292" spans="1:18" s="269" customFormat="1" x14ac:dyDescent="0.25">
      <c r="A292" s="264"/>
      <c r="B292" s="153"/>
      <c r="C292" s="153"/>
      <c r="D292" s="273" t="s">
        <v>123</v>
      </c>
      <c r="E292" s="275">
        <v>0.45</v>
      </c>
      <c r="F292" s="199">
        <v>2010</v>
      </c>
      <c r="G292" s="276">
        <v>0.6</v>
      </c>
      <c r="H292" s="276"/>
      <c r="I292" s="276"/>
      <c r="J292" s="276"/>
      <c r="K292" s="277"/>
      <c r="L292" s="278"/>
      <c r="M292" s="278"/>
      <c r="N292" s="277"/>
      <c r="O292" s="153"/>
      <c r="P292" s="154"/>
      <c r="Q292" s="153"/>
      <c r="R292" s="153"/>
    </row>
    <row r="293" spans="1:18" s="269" customFormat="1" x14ac:dyDescent="0.25">
      <c r="A293" s="264"/>
      <c r="B293" s="153"/>
      <c r="C293" s="153"/>
      <c r="D293" s="273" t="s">
        <v>454</v>
      </c>
      <c r="E293" s="275">
        <f>(E292*0.121)+E292</f>
        <v>0.50445000000000007</v>
      </c>
      <c r="F293" s="199">
        <v>2011</v>
      </c>
      <c r="G293" s="276">
        <v>0.6</v>
      </c>
      <c r="H293" s="276"/>
      <c r="I293" s="276"/>
      <c r="J293" s="276"/>
      <c r="K293" s="277"/>
      <c r="L293" s="278"/>
      <c r="M293" s="278"/>
      <c r="N293" s="277"/>
      <c r="O293" s="153"/>
      <c r="P293" s="154"/>
      <c r="Q293" s="153"/>
      <c r="R293" s="153"/>
    </row>
    <row r="294" spans="1:18" s="269" customFormat="1" x14ac:dyDescent="0.2">
      <c r="A294" s="264"/>
      <c r="B294" s="153"/>
      <c r="C294" s="153"/>
      <c r="D294" s="279" t="s">
        <v>124</v>
      </c>
      <c r="E294" s="275">
        <v>0.1</v>
      </c>
      <c r="F294" s="199">
        <v>2012</v>
      </c>
      <c r="G294" s="276">
        <v>0.6</v>
      </c>
      <c r="H294" s="276"/>
      <c r="I294" s="276"/>
      <c r="J294" s="276"/>
      <c r="K294" s="277"/>
      <c r="L294" s="278"/>
      <c r="M294" s="278"/>
      <c r="N294" s="277"/>
      <c r="O294" s="153"/>
      <c r="P294" s="154"/>
      <c r="Q294" s="153"/>
      <c r="R294" s="153"/>
    </row>
    <row r="295" spans="1:18" s="269" customFormat="1" x14ac:dyDescent="0.2">
      <c r="A295" s="264"/>
      <c r="B295" s="153"/>
      <c r="C295" s="153"/>
      <c r="D295" s="279" t="s">
        <v>125</v>
      </c>
      <c r="E295" s="275">
        <v>0.2</v>
      </c>
      <c r="F295" s="199">
        <v>2013</v>
      </c>
      <c r="G295" s="276">
        <v>0.6</v>
      </c>
      <c r="H295" s="276"/>
      <c r="I295" s="276"/>
      <c r="J295" s="276"/>
      <c r="K295" s="277"/>
      <c r="L295" s="278"/>
      <c r="M295" s="278"/>
      <c r="N295" s="277"/>
      <c r="O295" s="153"/>
      <c r="P295" s="154"/>
      <c r="Q295" s="153"/>
      <c r="R295" s="153"/>
    </row>
    <row r="296" spans="1:18" s="269" customFormat="1" x14ac:dyDescent="0.2">
      <c r="A296" s="264"/>
      <c r="B296" s="153"/>
      <c r="C296" s="153"/>
      <c r="D296" s="279" t="s">
        <v>550</v>
      </c>
      <c r="E296" s="275">
        <v>0.25</v>
      </c>
      <c r="F296" s="199">
        <v>2014</v>
      </c>
      <c r="G296" s="276">
        <v>0.6</v>
      </c>
      <c r="H296" s="276"/>
      <c r="I296" s="276"/>
      <c r="J296" s="276"/>
      <c r="K296" s="277"/>
      <c r="L296" s="278"/>
      <c r="M296" s="278"/>
      <c r="N296" s="277"/>
      <c r="O296" s="153"/>
      <c r="P296" s="154"/>
      <c r="Q296" s="153"/>
      <c r="R296" s="153"/>
    </row>
    <row r="297" spans="1:18" s="269" customFormat="1" x14ac:dyDescent="0.2">
      <c r="A297" s="264"/>
      <c r="B297" s="153"/>
      <c r="C297" s="153"/>
      <c r="D297" s="279" t="s">
        <v>551</v>
      </c>
      <c r="E297" s="275">
        <v>0.4</v>
      </c>
      <c r="F297" s="199">
        <v>2015</v>
      </c>
      <c r="G297" s="276">
        <v>0.7</v>
      </c>
      <c r="H297" s="276"/>
      <c r="I297" s="276"/>
      <c r="J297" s="276"/>
      <c r="K297" s="277"/>
      <c r="L297" s="278"/>
      <c r="M297" s="278"/>
      <c r="N297" s="277"/>
      <c r="O297" s="153"/>
      <c r="P297" s="154"/>
      <c r="Q297" s="153"/>
      <c r="R297" s="153"/>
    </row>
    <row r="298" spans="1:18" s="269" customFormat="1" x14ac:dyDescent="0.2">
      <c r="A298" s="264"/>
      <c r="B298" s="153"/>
      <c r="C298" s="153"/>
      <c r="D298" s="279" t="s">
        <v>552</v>
      </c>
      <c r="E298" s="275">
        <v>0.45</v>
      </c>
      <c r="F298" s="199">
        <v>2016</v>
      </c>
      <c r="G298" s="276">
        <v>0.7</v>
      </c>
      <c r="H298" s="276"/>
      <c r="I298" s="276"/>
      <c r="J298" s="276"/>
      <c r="K298" s="277"/>
      <c r="L298" s="278"/>
      <c r="M298" s="278"/>
      <c r="N298" s="277"/>
      <c r="O298" s="153"/>
      <c r="P298" s="154"/>
      <c r="Q298" s="153"/>
      <c r="R298" s="153"/>
    </row>
    <row r="299" spans="1:18" s="269" customFormat="1" x14ac:dyDescent="0.2">
      <c r="A299" s="264"/>
      <c r="B299" s="153"/>
      <c r="C299" s="153"/>
      <c r="D299" s="279" t="s">
        <v>553</v>
      </c>
      <c r="E299" s="275">
        <f>(E298*0.121)+E298</f>
        <v>0.50445000000000007</v>
      </c>
      <c r="F299" s="199">
        <v>2017</v>
      </c>
      <c r="G299" s="276">
        <v>0.7</v>
      </c>
      <c r="H299" s="276"/>
      <c r="I299" s="276"/>
      <c r="J299" s="276"/>
      <c r="K299" s="277"/>
      <c r="L299" s="278"/>
      <c r="M299" s="278"/>
      <c r="N299" s="277"/>
      <c r="O299" s="153"/>
      <c r="P299" s="154"/>
      <c r="Q299" s="153"/>
      <c r="R299" s="153"/>
    </row>
    <row r="300" spans="1:18" s="269" customFormat="1" x14ac:dyDescent="0.2">
      <c r="A300" s="264"/>
      <c r="B300" s="153"/>
      <c r="C300" s="153"/>
      <c r="D300" s="279" t="s">
        <v>126</v>
      </c>
      <c r="E300" s="275">
        <v>0.38</v>
      </c>
      <c r="F300" s="199">
        <v>2018</v>
      </c>
      <c r="G300" s="276">
        <v>0.7</v>
      </c>
      <c r="H300" s="276"/>
      <c r="I300" s="276"/>
      <c r="J300" s="276"/>
      <c r="K300" s="277"/>
      <c r="L300" s="278"/>
      <c r="M300" s="278"/>
      <c r="N300" s="277"/>
      <c r="O300" s="153"/>
      <c r="P300" s="154"/>
      <c r="Q300" s="153"/>
      <c r="R300" s="153"/>
    </row>
    <row r="301" spans="1:18" s="269" customFormat="1" x14ac:dyDescent="0.2">
      <c r="A301" s="264"/>
      <c r="B301" s="153"/>
      <c r="C301" s="153"/>
      <c r="D301" s="279" t="s">
        <v>127</v>
      </c>
      <c r="E301" s="275">
        <v>0.41</v>
      </c>
      <c r="F301" s="199">
        <v>2019</v>
      </c>
      <c r="G301" s="276">
        <v>0.7</v>
      </c>
      <c r="H301" s="276"/>
      <c r="I301" s="276"/>
      <c r="J301" s="276"/>
      <c r="K301" s="277"/>
      <c r="L301" s="278"/>
      <c r="M301" s="278"/>
      <c r="N301" s="277"/>
      <c r="O301" s="153"/>
      <c r="P301" s="154"/>
      <c r="Q301" s="153"/>
      <c r="R301" s="153"/>
    </row>
    <row r="302" spans="1:18" s="269" customFormat="1" x14ac:dyDescent="0.2">
      <c r="A302" s="264"/>
      <c r="B302" s="153"/>
      <c r="C302" s="153"/>
      <c r="D302" s="279" t="s">
        <v>128</v>
      </c>
      <c r="E302" s="275">
        <v>0.44</v>
      </c>
      <c r="F302" s="199">
        <v>2020</v>
      </c>
      <c r="G302" s="276">
        <v>0.8</v>
      </c>
      <c r="H302" s="276"/>
      <c r="I302" s="276"/>
      <c r="J302" s="276"/>
      <c r="K302" s="277"/>
      <c r="L302" s="278"/>
      <c r="M302" s="278"/>
      <c r="N302" s="277"/>
      <c r="O302" s="153"/>
      <c r="P302" s="154"/>
      <c r="Q302" s="153"/>
      <c r="R302" s="153"/>
    </row>
    <row r="303" spans="1:18" s="269" customFormat="1" x14ac:dyDescent="0.2">
      <c r="A303" s="264"/>
      <c r="B303" s="153"/>
      <c r="C303" s="153"/>
      <c r="D303" s="279" t="s">
        <v>129</v>
      </c>
      <c r="E303" s="275">
        <v>0.5</v>
      </c>
      <c r="F303" s="199">
        <v>2021</v>
      </c>
      <c r="G303" s="276">
        <v>0.8</v>
      </c>
      <c r="H303" s="276"/>
      <c r="I303" s="276"/>
      <c r="J303" s="276"/>
      <c r="K303" s="277"/>
      <c r="L303" s="278"/>
      <c r="M303" s="278"/>
      <c r="N303" s="277"/>
      <c r="O303" s="153"/>
      <c r="P303" s="154"/>
      <c r="Q303" s="153"/>
      <c r="R303" s="153"/>
    </row>
    <row r="304" spans="1:18" s="269" customFormat="1" x14ac:dyDescent="0.2">
      <c r="A304" s="264"/>
      <c r="B304" s="153"/>
      <c r="C304" s="153"/>
      <c r="D304" s="279" t="s">
        <v>130</v>
      </c>
      <c r="E304" s="275">
        <v>0.35</v>
      </c>
      <c r="F304" s="199">
        <v>2022</v>
      </c>
      <c r="G304" s="276">
        <v>0.8</v>
      </c>
      <c r="H304" s="276"/>
      <c r="I304" s="276"/>
      <c r="J304" s="276"/>
      <c r="K304" s="277"/>
      <c r="L304" s="278"/>
      <c r="M304" s="278"/>
      <c r="N304" s="277"/>
      <c r="O304" s="153"/>
      <c r="P304" s="154"/>
      <c r="Q304" s="153"/>
      <c r="R304" s="153"/>
    </row>
    <row r="305" spans="1:18" s="269" customFormat="1" x14ac:dyDescent="0.2">
      <c r="A305" s="264"/>
      <c r="B305" s="153"/>
      <c r="C305" s="153"/>
      <c r="D305" s="279" t="s">
        <v>131</v>
      </c>
      <c r="E305" s="275">
        <v>0.3</v>
      </c>
      <c r="F305" s="199">
        <v>2023</v>
      </c>
      <c r="G305" s="276">
        <v>0.8</v>
      </c>
      <c r="H305" s="276"/>
      <c r="I305" s="276"/>
      <c r="J305" s="276"/>
      <c r="K305" s="277"/>
      <c r="L305" s="278"/>
      <c r="M305" s="278"/>
      <c r="N305" s="277"/>
      <c r="O305" s="153"/>
      <c r="P305" s="154"/>
      <c r="Q305" s="153"/>
      <c r="R305" s="153"/>
    </row>
    <row r="306" spans="1:18" s="269" customFormat="1" x14ac:dyDescent="0.2">
      <c r="A306" s="264"/>
      <c r="B306" s="153"/>
      <c r="C306" s="153"/>
      <c r="D306" s="279" t="s">
        <v>132</v>
      </c>
      <c r="E306" s="275">
        <v>0.4</v>
      </c>
      <c r="F306" s="199">
        <v>2024</v>
      </c>
      <c r="G306" s="276">
        <v>0.8</v>
      </c>
      <c r="H306" s="276"/>
      <c r="I306" s="276"/>
      <c r="J306" s="276"/>
      <c r="K306" s="277"/>
      <c r="L306" s="278"/>
      <c r="M306" s="278"/>
      <c r="N306" s="277"/>
      <c r="O306" s="153"/>
      <c r="P306" s="154"/>
      <c r="Q306" s="153"/>
      <c r="R306" s="153"/>
    </row>
    <row r="307" spans="1:18" s="269" customFormat="1" x14ac:dyDescent="0.2">
      <c r="A307" s="264"/>
      <c r="B307" s="153"/>
      <c r="C307" s="153"/>
      <c r="D307" s="279" t="s">
        <v>133</v>
      </c>
      <c r="E307" s="275">
        <v>0.44</v>
      </c>
      <c r="F307" s="199">
        <v>2025</v>
      </c>
      <c r="G307" s="276">
        <v>0.9</v>
      </c>
      <c r="H307" s="276"/>
      <c r="I307" s="276"/>
      <c r="J307" s="276"/>
      <c r="K307" s="277"/>
      <c r="L307" s="278"/>
      <c r="M307" s="278"/>
      <c r="N307" s="277"/>
      <c r="O307" s="153"/>
      <c r="P307" s="154"/>
      <c r="Q307" s="153"/>
      <c r="R307" s="153"/>
    </row>
    <row r="308" spans="1:18" s="269" customFormat="1" x14ac:dyDescent="0.2">
      <c r="A308" s="264"/>
      <c r="B308" s="153"/>
      <c r="C308" s="153"/>
      <c r="D308" s="279" t="s">
        <v>134</v>
      </c>
      <c r="E308" s="275">
        <v>0.48</v>
      </c>
      <c r="F308" s="199">
        <v>2026</v>
      </c>
      <c r="G308" s="276">
        <v>0.9</v>
      </c>
      <c r="H308" s="276"/>
      <c r="I308" s="276"/>
      <c r="J308" s="276"/>
      <c r="K308" s="277"/>
      <c r="L308" s="278"/>
      <c r="M308" s="278"/>
      <c r="N308" s="277"/>
      <c r="O308" s="153"/>
      <c r="P308" s="154"/>
      <c r="Q308" s="153"/>
      <c r="R308" s="153"/>
    </row>
    <row r="309" spans="1:18" s="269" customFormat="1" x14ac:dyDescent="0.2">
      <c r="A309" s="264"/>
      <c r="B309" s="153"/>
      <c r="C309" s="153"/>
      <c r="D309" s="279" t="s">
        <v>135</v>
      </c>
      <c r="E309" s="275">
        <v>0.56000000000000005</v>
      </c>
      <c r="F309" s="199">
        <v>2027</v>
      </c>
      <c r="G309" s="276">
        <v>0.9</v>
      </c>
      <c r="H309" s="276"/>
      <c r="I309" s="276"/>
      <c r="J309" s="276"/>
      <c r="K309" s="277"/>
      <c r="L309" s="278"/>
      <c r="M309" s="278"/>
      <c r="N309" s="277"/>
      <c r="O309" s="153"/>
      <c r="P309" s="154"/>
      <c r="Q309" s="153"/>
      <c r="R309" s="153"/>
    </row>
    <row r="310" spans="1:18" s="269" customFormat="1" x14ac:dyDescent="0.2">
      <c r="A310" s="280"/>
      <c r="B310" s="153"/>
      <c r="C310" s="153"/>
      <c r="D310" s="279" t="s">
        <v>136</v>
      </c>
      <c r="E310" s="275">
        <v>0.25</v>
      </c>
      <c r="F310" s="199">
        <v>2028</v>
      </c>
      <c r="G310" s="276">
        <v>0.9</v>
      </c>
      <c r="H310" s="276"/>
      <c r="I310" s="276"/>
      <c r="J310" s="276"/>
      <c r="K310" s="277"/>
      <c r="L310" s="278"/>
      <c r="M310" s="278"/>
      <c r="N310" s="277"/>
      <c r="O310" s="153"/>
      <c r="P310" s="154"/>
      <c r="Q310" s="153"/>
      <c r="R310" s="153"/>
    </row>
    <row r="311" spans="1:18" s="269" customFormat="1" x14ac:dyDescent="0.2">
      <c r="A311" s="264"/>
      <c r="B311" s="153"/>
      <c r="C311" s="153"/>
      <c r="D311" s="279" t="s">
        <v>137</v>
      </c>
      <c r="E311" s="275">
        <v>0.35</v>
      </c>
      <c r="F311" s="199">
        <v>2029</v>
      </c>
      <c r="G311" s="276">
        <v>0.9</v>
      </c>
      <c r="H311" s="276"/>
      <c r="I311" s="276"/>
      <c r="J311" s="276"/>
      <c r="K311" s="277"/>
      <c r="L311" s="278"/>
      <c r="M311" s="278"/>
      <c r="N311" s="277"/>
      <c r="O311" s="243"/>
      <c r="P311" s="244"/>
      <c r="Q311" s="243"/>
      <c r="R311" s="243"/>
    </row>
    <row r="312" spans="1:18" s="269" customFormat="1" x14ac:dyDescent="0.2">
      <c r="A312" s="264"/>
      <c r="B312" s="153"/>
      <c r="C312" s="153"/>
      <c r="D312" s="279" t="s">
        <v>138</v>
      </c>
      <c r="E312" s="275">
        <v>0.37</v>
      </c>
      <c r="F312" s="199">
        <v>2030</v>
      </c>
      <c r="G312" s="276">
        <v>0.9</v>
      </c>
      <c r="H312" s="276"/>
      <c r="I312" s="276"/>
      <c r="J312" s="276"/>
      <c r="K312" s="277"/>
      <c r="L312" s="278"/>
      <c r="M312" s="278"/>
      <c r="N312" s="277"/>
      <c r="O312" s="243"/>
      <c r="P312" s="244"/>
      <c r="Q312" s="243"/>
      <c r="R312" s="243"/>
    </row>
    <row r="313" spans="1:18" s="269" customFormat="1" x14ac:dyDescent="0.2">
      <c r="A313" s="264"/>
      <c r="B313" s="153"/>
      <c r="C313" s="153"/>
      <c r="D313" s="279" t="s">
        <v>139</v>
      </c>
      <c r="E313" s="275">
        <v>0.4</v>
      </c>
      <c r="F313" s="199">
        <v>2031</v>
      </c>
      <c r="G313" s="276">
        <v>0.9</v>
      </c>
      <c r="H313" s="276"/>
      <c r="I313" s="276"/>
      <c r="J313" s="276"/>
      <c r="K313" s="277"/>
      <c r="L313" s="278"/>
      <c r="M313" s="278"/>
      <c r="N313" s="277"/>
      <c r="O313" s="243"/>
      <c r="P313" s="244"/>
      <c r="Q313" s="243"/>
      <c r="R313" s="243"/>
    </row>
    <row r="314" spans="1:18" s="269" customFormat="1" x14ac:dyDescent="0.2">
      <c r="A314" s="264"/>
      <c r="B314" s="153"/>
      <c r="C314" s="153"/>
      <c r="D314" s="279" t="s">
        <v>140</v>
      </c>
      <c r="E314" s="275">
        <v>0.43</v>
      </c>
      <c r="F314" s="199">
        <v>2032</v>
      </c>
      <c r="G314" s="276">
        <v>0.9</v>
      </c>
      <c r="H314" s="276"/>
      <c r="I314" s="276"/>
      <c r="J314" s="276"/>
      <c r="K314" s="277"/>
      <c r="L314" s="278"/>
      <c r="M314" s="278"/>
      <c r="N314" s="277"/>
      <c r="O314" s="153"/>
      <c r="P314" s="154"/>
      <c r="Q314" s="153"/>
      <c r="R314" s="153"/>
    </row>
    <row r="315" spans="1:18" s="269" customFormat="1" x14ac:dyDescent="0.2">
      <c r="A315" s="264"/>
      <c r="B315" s="153"/>
      <c r="C315" s="153"/>
      <c r="D315" s="279" t="s">
        <v>424</v>
      </c>
      <c r="E315" s="275">
        <v>0.46</v>
      </c>
      <c r="F315" s="199">
        <v>2033</v>
      </c>
      <c r="G315" s="276">
        <v>0.9</v>
      </c>
      <c r="H315" s="276"/>
      <c r="I315" s="276"/>
      <c r="J315" s="276"/>
      <c r="K315" s="277"/>
      <c r="L315" s="278"/>
      <c r="M315" s="278"/>
      <c r="N315" s="268"/>
      <c r="O315" s="153"/>
      <c r="P315" s="154"/>
      <c r="Q315" s="153"/>
      <c r="R315" s="153"/>
    </row>
    <row r="316" spans="1:18" s="269" customFormat="1" x14ac:dyDescent="0.2">
      <c r="A316" s="264"/>
      <c r="B316" s="153"/>
      <c r="C316" s="153"/>
      <c r="D316" s="279" t="s">
        <v>425</v>
      </c>
      <c r="E316" s="275">
        <v>0.49</v>
      </c>
      <c r="F316" s="199">
        <v>2034</v>
      </c>
      <c r="G316" s="276">
        <v>0.9</v>
      </c>
      <c r="H316" s="276"/>
      <c r="I316" s="276"/>
      <c r="J316" s="276"/>
      <c r="K316" s="277"/>
      <c r="L316" s="278"/>
      <c r="M316" s="278"/>
      <c r="N316" s="268"/>
      <c r="O316" s="153"/>
      <c r="P316" s="154"/>
      <c r="Q316" s="153"/>
      <c r="R316" s="153"/>
    </row>
    <row r="317" spans="1:18" s="269" customFormat="1" x14ac:dyDescent="0.2">
      <c r="A317" s="264"/>
      <c r="B317" s="153"/>
      <c r="C317" s="153"/>
      <c r="D317" s="279" t="s">
        <v>426</v>
      </c>
      <c r="E317" s="275">
        <v>0.52</v>
      </c>
      <c r="F317" s="199">
        <v>2035</v>
      </c>
      <c r="G317" s="276">
        <v>0.9</v>
      </c>
      <c r="H317" s="276"/>
      <c r="I317" s="276"/>
      <c r="J317" s="276"/>
      <c r="K317" s="277"/>
      <c r="L317" s="278"/>
      <c r="M317" s="278"/>
      <c r="N317" s="268"/>
      <c r="O317" s="153"/>
      <c r="P317" s="154"/>
      <c r="Q317" s="153"/>
      <c r="R317" s="153"/>
    </row>
    <row r="318" spans="1:18" s="264" customFormat="1" x14ac:dyDescent="0.2">
      <c r="B318" s="153"/>
      <c r="C318" s="153"/>
      <c r="D318" s="279" t="s">
        <v>427</v>
      </c>
      <c r="E318" s="275">
        <v>0.55000000000000004</v>
      </c>
      <c r="F318" s="199">
        <v>2036</v>
      </c>
      <c r="G318" s="276">
        <v>0.9</v>
      </c>
      <c r="H318" s="276"/>
      <c r="I318" s="153"/>
      <c r="J318" s="153"/>
      <c r="K318" s="266"/>
      <c r="M318" s="278"/>
      <c r="N318" s="268"/>
      <c r="O318" s="153"/>
      <c r="P318" s="154"/>
      <c r="Q318" s="153"/>
      <c r="R318" s="153"/>
    </row>
    <row r="319" spans="1:18" s="264" customFormat="1" x14ac:dyDescent="0.2">
      <c r="B319" s="153"/>
      <c r="C319" s="153"/>
      <c r="D319" s="279" t="s">
        <v>428</v>
      </c>
      <c r="E319" s="275">
        <v>0.57999999999999996</v>
      </c>
      <c r="F319" s="199">
        <v>2037</v>
      </c>
      <c r="G319" s="276">
        <v>0.9</v>
      </c>
      <c r="H319" s="276"/>
      <c r="I319" s="153"/>
      <c r="J319" s="153"/>
      <c r="K319" s="266"/>
      <c r="M319" s="278"/>
      <c r="N319" s="268"/>
      <c r="O319" s="153"/>
      <c r="P319" s="154"/>
      <c r="Q319" s="153"/>
      <c r="R319" s="153"/>
    </row>
    <row r="320" spans="1:18" s="264" customFormat="1" x14ac:dyDescent="0.2">
      <c r="B320" s="153"/>
      <c r="C320" s="153"/>
      <c r="D320" s="279" t="s">
        <v>429</v>
      </c>
      <c r="E320" s="275">
        <v>0.61</v>
      </c>
      <c r="F320" s="199">
        <v>2038</v>
      </c>
      <c r="G320" s="276">
        <v>0.9</v>
      </c>
      <c r="H320" s="276"/>
      <c r="I320" s="153"/>
      <c r="J320" s="153"/>
      <c r="K320" s="266"/>
      <c r="M320" s="278"/>
      <c r="N320" s="268"/>
      <c r="O320" s="153"/>
      <c r="P320" s="154"/>
      <c r="Q320" s="153"/>
      <c r="R320" s="153"/>
    </row>
    <row r="321" spans="2:18" s="264" customFormat="1" x14ac:dyDescent="0.2">
      <c r="B321" s="153"/>
      <c r="C321" s="153"/>
      <c r="D321" s="279" t="s">
        <v>430</v>
      </c>
      <c r="E321" s="275">
        <v>0.64</v>
      </c>
      <c r="F321" s="199">
        <v>2039</v>
      </c>
      <c r="G321" s="276">
        <v>0.9</v>
      </c>
      <c r="H321" s="276"/>
      <c r="I321" s="153"/>
      <c r="J321" s="153"/>
      <c r="K321" s="266"/>
      <c r="M321" s="278"/>
      <c r="N321" s="268"/>
      <c r="O321" s="153"/>
      <c r="P321" s="154"/>
      <c r="Q321" s="153"/>
      <c r="R321" s="153"/>
    </row>
    <row r="322" spans="2:18" s="264" customFormat="1" x14ac:dyDescent="0.2">
      <c r="B322" s="153"/>
      <c r="C322" s="153"/>
      <c r="D322" s="279" t="s">
        <v>431</v>
      </c>
      <c r="E322" s="275">
        <v>0.67</v>
      </c>
      <c r="F322" s="199">
        <v>2040</v>
      </c>
      <c r="G322" s="276">
        <v>0.9</v>
      </c>
      <c r="H322" s="276"/>
      <c r="I322" s="153"/>
      <c r="J322" s="153"/>
      <c r="K322" s="266"/>
      <c r="M322" s="278"/>
      <c r="N322" s="268"/>
      <c r="O322" s="153"/>
      <c r="P322" s="154"/>
      <c r="Q322" s="153"/>
      <c r="R322" s="153"/>
    </row>
    <row r="323" spans="2:18" s="264" customFormat="1" x14ac:dyDescent="0.2">
      <c r="B323" s="153"/>
      <c r="C323" s="153"/>
      <c r="D323" s="279" t="s">
        <v>432</v>
      </c>
      <c r="E323" s="275">
        <v>0.7</v>
      </c>
      <c r="F323" s="199">
        <v>2041</v>
      </c>
      <c r="G323" s="276">
        <v>0.9</v>
      </c>
      <c r="H323" s="276"/>
      <c r="I323" s="153"/>
      <c r="J323" s="153"/>
      <c r="K323" s="266"/>
      <c r="M323" s="278"/>
      <c r="N323" s="268"/>
      <c r="O323" s="153"/>
      <c r="P323" s="154"/>
      <c r="Q323" s="153"/>
      <c r="R323" s="153"/>
    </row>
    <row r="324" spans="2:18" s="264" customFormat="1" x14ac:dyDescent="0.2">
      <c r="B324" s="153"/>
      <c r="C324" s="153"/>
      <c r="D324" s="279" t="s">
        <v>433</v>
      </c>
      <c r="E324" s="275">
        <v>0.73</v>
      </c>
      <c r="F324" s="199">
        <v>2042</v>
      </c>
      <c r="G324" s="276">
        <v>0.9</v>
      </c>
      <c r="H324" s="276"/>
      <c r="I324" s="153"/>
      <c r="J324" s="153"/>
      <c r="K324" s="266"/>
      <c r="M324" s="278"/>
      <c r="N324" s="268"/>
      <c r="O324" s="153"/>
      <c r="P324" s="154"/>
      <c r="Q324" s="153"/>
      <c r="R324" s="153"/>
    </row>
    <row r="325" spans="2:18" s="264" customFormat="1" x14ac:dyDescent="0.2">
      <c r="B325" s="153"/>
      <c r="C325" s="153"/>
      <c r="D325" s="279" t="s">
        <v>434</v>
      </c>
      <c r="E325" s="275">
        <v>0.76</v>
      </c>
      <c r="F325" s="199">
        <v>2043</v>
      </c>
      <c r="G325" s="276">
        <v>0.9</v>
      </c>
      <c r="H325" s="276"/>
      <c r="I325" s="153"/>
      <c r="J325" s="153"/>
      <c r="K325" s="266"/>
      <c r="M325" s="278"/>
      <c r="N325" s="268"/>
      <c r="O325" s="153"/>
      <c r="P325" s="154"/>
      <c r="Q325" s="153"/>
      <c r="R325" s="153"/>
    </row>
    <row r="326" spans="2:18" s="264" customFormat="1" x14ac:dyDescent="0.2">
      <c r="B326" s="153"/>
      <c r="C326" s="153"/>
      <c r="D326" s="279" t="s">
        <v>435</v>
      </c>
      <c r="E326" s="275">
        <v>0.79</v>
      </c>
      <c r="F326" s="199">
        <v>2044</v>
      </c>
      <c r="G326" s="276">
        <v>0.9</v>
      </c>
      <c r="H326" s="276"/>
      <c r="I326" s="153"/>
      <c r="J326" s="153"/>
      <c r="K326" s="266"/>
      <c r="M326" s="278"/>
      <c r="N326" s="268"/>
      <c r="O326" s="153"/>
      <c r="P326" s="154"/>
      <c r="Q326" s="153"/>
      <c r="R326" s="153"/>
    </row>
    <row r="327" spans="2:18" s="264" customFormat="1" x14ac:dyDescent="0.2">
      <c r="B327" s="153"/>
      <c r="C327" s="153"/>
      <c r="D327" s="279" t="s">
        <v>436</v>
      </c>
      <c r="E327" s="275">
        <v>0.82</v>
      </c>
      <c r="F327" s="199">
        <v>2045</v>
      </c>
      <c r="G327" s="276">
        <v>0.9</v>
      </c>
      <c r="H327" s="276"/>
      <c r="I327" s="153"/>
      <c r="J327" s="153"/>
      <c r="K327" s="266"/>
      <c r="M327" s="278"/>
      <c r="N327" s="268"/>
      <c r="O327" s="153"/>
      <c r="P327" s="154"/>
      <c r="Q327" s="153"/>
      <c r="R327" s="153"/>
    </row>
    <row r="328" spans="2:18" s="264" customFormat="1" x14ac:dyDescent="0.2">
      <c r="B328" s="153"/>
      <c r="C328" s="153"/>
      <c r="D328" s="279" t="s">
        <v>437</v>
      </c>
      <c r="E328" s="275">
        <v>0.85</v>
      </c>
      <c r="F328" s="199">
        <v>2046</v>
      </c>
      <c r="G328" s="276">
        <v>0.9</v>
      </c>
      <c r="H328" s="276"/>
      <c r="I328" s="153"/>
      <c r="J328" s="153"/>
      <c r="K328" s="266"/>
      <c r="M328" s="278"/>
      <c r="N328" s="268"/>
      <c r="O328" s="153"/>
      <c r="P328" s="154"/>
      <c r="Q328" s="153"/>
      <c r="R328" s="153"/>
    </row>
    <row r="329" spans="2:18" s="264" customFormat="1" x14ac:dyDescent="0.2">
      <c r="B329" s="153"/>
      <c r="C329" s="153"/>
      <c r="D329" s="279" t="s">
        <v>438</v>
      </c>
      <c r="E329" s="275">
        <v>0.88</v>
      </c>
      <c r="F329" s="153"/>
      <c r="G329" s="153"/>
      <c r="H329" s="276"/>
      <c r="I329" s="153"/>
      <c r="J329" s="153"/>
      <c r="K329" s="266"/>
      <c r="M329" s="278"/>
      <c r="N329" s="268"/>
      <c r="O329" s="153"/>
      <c r="P329" s="154"/>
      <c r="Q329" s="153"/>
      <c r="R329" s="153"/>
    </row>
    <row r="330" spans="2:18" s="264" customFormat="1" x14ac:dyDescent="0.2">
      <c r="B330" s="153"/>
      <c r="C330" s="153"/>
      <c r="D330" s="279" t="s">
        <v>439</v>
      </c>
      <c r="E330" s="275">
        <v>0.91</v>
      </c>
      <c r="F330" s="153"/>
      <c r="G330" s="153"/>
      <c r="H330" s="276"/>
      <c r="I330" s="153"/>
      <c r="J330" s="153"/>
      <c r="K330" s="266"/>
      <c r="M330" s="278"/>
      <c r="N330" s="268"/>
      <c r="O330" s="153"/>
      <c r="P330" s="154"/>
      <c r="Q330" s="153"/>
      <c r="R330" s="153"/>
    </row>
    <row r="331" spans="2:18" s="264" customFormat="1" x14ac:dyDescent="0.2">
      <c r="B331" s="153"/>
      <c r="C331" s="153"/>
      <c r="D331" s="279" t="s">
        <v>440</v>
      </c>
      <c r="E331" s="275">
        <v>0.94</v>
      </c>
      <c r="F331" s="153"/>
      <c r="G331" s="153"/>
      <c r="H331" s="276"/>
      <c r="I331" s="153"/>
      <c r="J331" s="153"/>
      <c r="K331" s="266"/>
      <c r="M331" s="278"/>
      <c r="N331" s="268"/>
      <c r="O331" s="153"/>
      <c r="P331" s="154"/>
      <c r="Q331" s="153"/>
      <c r="R331" s="153"/>
    </row>
    <row r="332" spans="2:18" s="264" customFormat="1" x14ac:dyDescent="0.2">
      <c r="B332" s="153"/>
      <c r="C332" s="153"/>
      <c r="D332" s="279" t="s">
        <v>441</v>
      </c>
      <c r="E332" s="275">
        <v>0.97</v>
      </c>
      <c r="F332" s="153"/>
      <c r="G332" s="153"/>
      <c r="H332" s="276"/>
      <c r="I332" s="153"/>
      <c r="J332" s="153"/>
      <c r="K332" s="266"/>
      <c r="M332" s="278"/>
      <c r="N332" s="268"/>
      <c r="O332" s="153"/>
      <c r="P332" s="154"/>
      <c r="Q332" s="153"/>
      <c r="R332" s="153"/>
    </row>
    <row r="333" spans="2:18" s="264" customFormat="1" x14ac:dyDescent="0.2">
      <c r="B333" s="153"/>
      <c r="C333" s="153"/>
      <c r="D333" s="279" t="s">
        <v>442</v>
      </c>
      <c r="E333" s="275">
        <v>1</v>
      </c>
      <c r="F333" s="153"/>
      <c r="G333" s="153"/>
      <c r="H333" s="281" t="str">
        <f>HYPERLINK("https://living-future.org/declare/","Declare")</f>
        <v>Declare</v>
      </c>
      <c r="I333" s="282"/>
      <c r="J333" s="153"/>
      <c r="K333" s="266"/>
      <c r="N333" s="268"/>
      <c r="O333" s="153"/>
      <c r="P333" s="154"/>
      <c r="Q333" s="153"/>
      <c r="R333" s="153"/>
    </row>
    <row r="334" spans="2:18" s="264" customFormat="1" x14ac:dyDescent="0.2">
      <c r="B334" s="153"/>
      <c r="C334" s="153"/>
      <c r="D334" s="279" t="s">
        <v>443</v>
      </c>
      <c r="E334" s="275">
        <v>1.03</v>
      </c>
      <c r="F334" s="153"/>
      <c r="G334" s="153"/>
      <c r="H334" s="281" t="str">
        <f>HYPERLINK("https://www.hpd-collaborative.org/","HPD Collaborative")</f>
        <v>HPD Collaborative</v>
      </c>
      <c r="I334" s="282"/>
      <c r="J334" s="153"/>
      <c r="K334" s="266"/>
      <c r="N334" s="268"/>
      <c r="O334" s="153"/>
      <c r="P334" s="154"/>
      <c r="Q334" s="153"/>
      <c r="R334" s="153"/>
    </row>
    <row r="335" spans="2:18" s="264" customFormat="1" x14ac:dyDescent="0.2">
      <c r="B335" s="153"/>
      <c r="C335" s="153"/>
      <c r="D335" s="279" t="s">
        <v>444</v>
      </c>
      <c r="E335" s="275">
        <v>1.06</v>
      </c>
      <c r="F335" s="153"/>
      <c r="G335" s="153"/>
      <c r="H335" s="283" t="s">
        <v>398</v>
      </c>
      <c r="I335" s="282"/>
      <c r="J335" s="153"/>
      <c r="K335" s="266"/>
      <c r="N335" s="268"/>
      <c r="O335" s="153"/>
      <c r="P335" s="154"/>
      <c r="Q335" s="153"/>
      <c r="R335" s="153"/>
    </row>
    <row r="336" spans="2:18" s="264" customFormat="1" x14ac:dyDescent="0.2">
      <c r="B336" s="153"/>
      <c r="C336" s="153"/>
      <c r="D336" s="279" t="s">
        <v>445</v>
      </c>
      <c r="E336" s="275">
        <v>1.0900000000000001</v>
      </c>
      <c r="F336" s="153"/>
      <c r="G336" s="153"/>
      <c r="H336" s="283" t="s">
        <v>399</v>
      </c>
      <c r="I336" s="282"/>
      <c r="J336" s="153"/>
      <c r="K336" s="266"/>
      <c r="N336" s="268"/>
      <c r="O336" s="153"/>
      <c r="P336" s="154"/>
      <c r="Q336" s="153"/>
      <c r="R336" s="153"/>
    </row>
    <row r="337" spans="2:18" s="264" customFormat="1" x14ac:dyDescent="0.2">
      <c r="B337" s="153"/>
      <c r="C337" s="153"/>
      <c r="D337" s="279" t="s">
        <v>446</v>
      </c>
      <c r="E337" s="275">
        <v>1.1200000000000001</v>
      </c>
      <c r="F337" s="153"/>
      <c r="G337" s="153"/>
      <c r="H337" s="283" t="s">
        <v>400</v>
      </c>
      <c r="I337" s="282"/>
      <c r="J337" s="153"/>
      <c r="K337" s="266"/>
      <c r="N337" s="268"/>
      <c r="O337" s="153"/>
      <c r="P337" s="154"/>
      <c r="Q337" s="153"/>
      <c r="R337" s="153"/>
    </row>
    <row r="338" spans="2:18" s="264" customFormat="1" x14ac:dyDescent="0.2">
      <c r="B338" s="153"/>
      <c r="C338" s="153"/>
      <c r="D338" s="279" t="s">
        <v>447</v>
      </c>
      <c r="E338" s="275">
        <v>1.1499999999999999</v>
      </c>
      <c r="F338" s="153"/>
      <c r="G338" s="153"/>
      <c r="H338" s="283" t="s">
        <v>401</v>
      </c>
      <c r="I338" s="282"/>
      <c r="J338" s="153"/>
      <c r="K338" s="266"/>
      <c r="N338" s="268"/>
      <c r="O338" s="153"/>
      <c r="P338" s="154"/>
      <c r="Q338" s="153"/>
      <c r="R338" s="153"/>
    </row>
    <row r="339" spans="2:18" s="264" customFormat="1" x14ac:dyDescent="0.2">
      <c r="B339" s="153"/>
      <c r="C339" s="153"/>
      <c r="D339" s="279" t="s">
        <v>448</v>
      </c>
      <c r="E339" s="275">
        <v>1.18</v>
      </c>
      <c r="F339" s="153"/>
      <c r="G339" s="153"/>
      <c r="H339" s="283" t="s">
        <v>402</v>
      </c>
      <c r="I339" s="282"/>
      <c r="J339" s="153"/>
      <c r="K339" s="266"/>
      <c r="N339" s="268"/>
      <c r="O339" s="153"/>
      <c r="P339" s="154"/>
      <c r="Q339" s="153"/>
      <c r="R339" s="153"/>
    </row>
    <row r="340" spans="2:18" s="264" customFormat="1" x14ac:dyDescent="0.2">
      <c r="B340" s="153"/>
      <c r="C340" s="153"/>
      <c r="D340" s="279" t="s">
        <v>449</v>
      </c>
      <c r="E340" s="275">
        <v>1.21</v>
      </c>
      <c r="F340" s="153"/>
      <c r="G340" s="153"/>
      <c r="H340" s="283" t="s">
        <v>403</v>
      </c>
      <c r="I340" s="282"/>
      <c r="J340" s="153"/>
      <c r="K340" s="266"/>
      <c r="N340" s="268"/>
      <c r="O340" s="153"/>
      <c r="P340" s="154"/>
      <c r="Q340" s="153"/>
      <c r="R340" s="153"/>
    </row>
    <row r="341" spans="2:18" s="264" customFormat="1" x14ac:dyDescent="0.2">
      <c r="B341" s="153"/>
      <c r="C341" s="153"/>
      <c r="D341" s="279" t="s">
        <v>450</v>
      </c>
      <c r="E341" s="275">
        <v>1.24</v>
      </c>
      <c r="F341" s="153"/>
      <c r="G341" s="153"/>
      <c r="H341" s="283" t="s">
        <v>404</v>
      </c>
      <c r="I341" s="282"/>
      <c r="J341" s="153"/>
      <c r="K341" s="266"/>
      <c r="N341" s="268"/>
      <c r="O341" s="153"/>
      <c r="P341" s="154"/>
      <c r="Q341" s="153"/>
      <c r="R341" s="153"/>
    </row>
    <row r="342" spans="2:18" s="264" customFormat="1" x14ac:dyDescent="0.2">
      <c r="B342" s="153"/>
      <c r="C342" s="153"/>
      <c r="D342" s="279" t="s">
        <v>451</v>
      </c>
      <c r="E342" s="275">
        <v>1.27</v>
      </c>
      <c r="F342" s="153"/>
      <c r="G342" s="153"/>
      <c r="H342" s="283" t="s">
        <v>405</v>
      </c>
      <c r="I342" s="282"/>
      <c r="J342" s="153"/>
      <c r="K342" s="266"/>
      <c r="N342" s="268"/>
      <c r="O342" s="153"/>
      <c r="P342" s="154"/>
      <c r="Q342" s="153"/>
      <c r="R342" s="153"/>
    </row>
    <row r="343" spans="2:18" s="264" customFormat="1" x14ac:dyDescent="0.2">
      <c r="B343" s="153"/>
      <c r="C343" s="153"/>
      <c r="D343" s="279" t="s">
        <v>452</v>
      </c>
      <c r="E343" s="275">
        <v>1.3</v>
      </c>
      <c r="F343" s="153"/>
      <c r="G343" s="153"/>
      <c r="H343" s="283" t="s">
        <v>406</v>
      </c>
      <c r="I343" s="282"/>
      <c r="J343" s="153"/>
      <c r="K343" s="266"/>
      <c r="N343" s="268"/>
      <c r="O343" s="153"/>
      <c r="P343" s="154"/>
      <c r="Q343" s="153"/>
      <c r="R343" s="153"/>
    </row>
    <row r="344" spans="2:18" s="264" customFormat="1" x14ac:dyDescent="0.2">
      <c r="B344" s="153"/>
      <c r="C344" s="153"/>
      <c r="D344" s="279" t="s">
        <v>453</v>
      </c>
      <c r="E344" s="275">
        <v>1.33</v>
      </c>
      <c r="F344" s="153"/>
      <c r="G344" s="153"/>
      <c r="H344" s="283" t="s">
        <v>407</v>
      </c>
      <c r="I344" s="282"/>
      <c r="J344" s="153"/>
      <c r="K344" s="266"/>
      <c r="N344" s="268"/>
      <c r="O344" s="153"/>
      <c r="P344" s="154"/>
      <c r="Q344" s="153"/>
      <c r="R344" s="153"/>
    </row>
    <row r="345" spans="2:18" x14ac:dyDescent="0.25">
      <c r="D345" s="269"/>
      <c r="E345" s="269"/>
      <c r="F345" s="269"/>
      <c r="G345" s="269"/>
      <c r="H345" s="269"/>
      <c r="I345" s="284"/>
      <c r="J345" s="285"/>
      <c r="K345" s="286"/>
      <c r="L345" s="287"/>
      <c r="M345" s="269"/>
    </row>
    <row r="346" spans="2:18" x14ac:dyDescent="0.25">
      <c r="D346" s="269"/>
      <c r="E346" s="269"/>
      <c r="F346" s="269"/>
      <c r="G346" s="269"/>
      <c r="H346" s="269"/>
      <c r="I346" s="284"/>
      <c r="J346" s="285"/>
      <c r="K346" s="286"/>
      <c r="L346" s="287"/>
      <c r="M346" s="269"/>
    </row>
  </sheetData>
  <sheetProtection algorithmName="SHA-512" hashValue="lZkYlfxURT81FtsFbJfKAadTizLoRaTInBT/oyRVH0C7dCq7R7VDVA/6/QxhM2uTW1xt0pEEnkZCVZwgCpqs9g==" saltValue="bp9eio+xKGY2Fqea28qWlQ==" spinCount="100000" sheet="1" insertColumns="0" selectLockedCells="1"/>
  <mergeCells count="212">
    <mergeCell ref="L150:M152"/>
    <mergeCell ref="I173:J173"/>
    <mergeCell ref="I163:J163"/>
    <mergeCell ref="I238:J238"/>
    <mergeCell ref="L237:M237"/>
    <mergeCell ref="L205:M207"/>
    <mergeCell ref="B226:J226"/>
    <mergeCell ref="B225:J225"/>
    <mergeCell ref="B180:J180"/>
    <mergeCell ref="I186:J186"/>
    <mergeCell ref="I185:J185"/>
    <mergeCell ref="I190:J190"/>
    <mergeCell ref="K263:M263"/>
    <mergeCell ref="K259:M259"/>
    <mergeCell ref="I261:L261"/>
    <mergeCell ref="I275:L275"/>
    <mergeCell ref="B259:J259"/>
    <mergeCell ref="I250:J250"/>
    <mergeCell ref="I249:J249"/>
    <mergeCell ref="I237:J237"/>
    <mergeCell ref="B229:J229"/>
    <mergeCell ref="K229:M229"/>
    <mergeCell ref="I234:J234"/>
    <mergeCell ref="K243:M243"/>
    <mergeCell ref="B242:D242"/>
    <mergeCell ref="B243:J243"/>
    <mergeCell ref="L239:M239"/>
    <mergeCell ref="L250:M250"/>
    <mergeCell ref="L252:M252"/>
    <mergeCell ref="I255:J255"/>
    <mergeCell ref="L253:M253"/>
    <mergeCell ref="L238:M238"/>
    <mergeCell ref="I252:J252"/>
    <mergeCell ref="K247:M247"/>
    <mergeCell ref="B282:D282"/>
    <mergeCell ref="L278:M278"/>
    <mergeCell ref="L279:M279"/>
    <mergeCell ref="L280:M280"/>
    <mergeCell ref="K277:M277"/>
    <mergeCell ref="I268:J268"/>
    <mergeCell ref="L266:M266"/>
    <mergeCell ref="L267:M267"/>
    <mergeCell ref="L268:M268"/>
    <mergeCell ref="L269:M269"/>
    <mergeCell ref="K49:M49"/>
    <mergeCell ref="I52:J52"/>
    <mergeCell ref="I159:J159"/>
    <mergeCell ref="I147:J147"/>
    <mergeCell ref="I150:J150"/>
    <mergeCell ref="I145:J145"/>
    <mergeCell ref="I148:J148"/>
    <mergeCell ref="I89:J89"/>
    <mergeCell ref="I114:J114"/>
    <mergeCell ref="K50:M50"/>
    <mergeCell ref="B154:J154"/>
    <mergeCell ref="B96:J96"/>
    <mergeCell ref="B65:B67"/>
    <mergeCell ref="K154:M154"/>
    <mergeCell ref="L60:M60"/>
    <mergeCell ref="I136:J136"/>
    <mergeCell ref="I73:J73"/>
    <mergeCell ref="L148:M149"/>
    <mergeCell ref="I133:J133"/>
    <mergeCell ref="I134:J134"/>
    <mergeCell ref="I135:J135"/>
    <mergeCell ref="I74:J74"/>
    <mergeCell ref="L159:M159"/>
    <mergeCell ref="B95:J95"/>
    <mergeCell ref="K283:M283"/>
    <mergeCell ref="K273:M273"/>
    <mergeCell ref="I280:J280"/>
    <mergeCell ref="I248:J248"/>
    <mergeCell ref="I267:J267"/>
    <mergeCell ref="I254:J254"/>
    <mergeCell ref="I253:J253"/>
    <mergeCell ref="I266:J266"/>
    <mergeCell ref="I279:J279"/>
    <mergeCell ref="B283:J283"/>
    <mergeCell ref="I270:J270"/>
    <mergeCell ref="B273:J273"/>
    <mergeCell ref="L264:M264"/>
    <mergeCell ref="L265:M265"/>
    <mergeCell ref="I264:J264"/>
    <mergeCell ref="I256:J256"/>
    <mergeCell ref="I269:J269"/>
    <mergeCell ref="I251:J251"/>
    <mergeCell ref="L255:M255"/>
    <mergeCell ref="L256:M256"/>
    <mergeCell ref="L254:M254"/>
    <mergeCell ref="B278:D278"/>
    <mergeCell ref="B258:D258"/>
    <mergeCell ref="I278:J278"/>
    <mergeCell ref="I138:J138"/>
    <mergeCell ref="I139:J139"/>
    <mergeCell ref="H222:I222"/>
    <mergeCell ref="I245:L245"/>
    <mergeCell ref="L234:M234"/>
    <mergeCell ref="L160:M160"/>
    <mergeCell ref="L165:M165"/>
    <mergeCell ref="L161:M161"/>
    <mergeCell ref="K184:M184"/>
    <mergeCell ref="K172:M172"/>
    <mergeCell ref="I176:J176"/>
    <mergeCell ref="I174:J174"/>
    <mergeCell ref="I177:J177"/>
    <mergeCell ref="K180:M180"/>
    <mergeCell ref="I204:J204"/>
    <mergeCell ref="L164:M164"/>
    <mergeCell ref="I144:J144"/>
    <mergeCell ref="I141:L141"/>
    <mergeCell ref="I156:M156"/>
    <mergeCell ref="K143:M143"/>
    <mergeCell ref="K158:M158"/>
    <mergeCell ref="I146:J146"/>
    <mergeCell ref="L144:M144"/>
    <mergeCell ref="L145:M145"/>
    <mergeCell ref="B98:J98"/>
    <mergeCell ref="B118:D118"/>
    <mergeCell ref="B228:J228"/>
    <mergeCell ref="B130:J130"/>
    <mergeCell ref="I236:J236"/>
    <mergeCell ref="I235:J235"/>
    <mergeCell ref="I108:J108"/>
    <mergeCell ref="I160:J160"/>
    <mergeCell ref="B168:J168"/>
    <mergeCell ref="I126:J126"/>
    <mergeCell ref="I115:J115"/>
    <mergeCell ref="I116:J116"/>
    <mergeCell ref="I205:J205"/>
    <mergeCell ref="I164:J164"/>
    <mergeCell ref="B167:D167"/>
    <mergeCell ref="I137:J137"/>
    <mergeCell ref="I181:J181"/>
    <mergeCell ref="B129:J129"/>
    <mergeCell ref="I182:L182"/>
    <mergeCell ref="I231:L231"/>
    <mergeCell ref="L133:M139"/>
    <mergeCell ref="B179:D179"/>
    <mergeCell ref="L146:M147"/>
    <mergeCell ref="I151:J151"/>
    <mergeCell ref="I284:J284"/>
    <mergeCell ref="I265:J265"/>
    <mergeCell ref="I55:J55"/>
    <mergeCell ref="I57:J57"/>
    <mergeCell ref="I58:J58"/>
    <mergeCell ref="I59:J59"/>
    <mergeCell ref="I60:J60"/>
    <mergeCell ref="I56:J56"/>
    <mergeCell ref="I189:J189"/>
    <mergeCell ref="I72:J72"/>
    <mergeCell ref="I82:J82"/>
    <mergeCell ref="I79:J79"/>
    <mergeCell ref="I77:J77"/>
    <mergeCell ref="I78:J78"/>
    <mergeCell ref="I187:J187"/>
    <mergeCell ref="I61:J61"/>
    <mergeCell ref="I71:J71"/>
    <mergeCell ref="I70:J70"/>
    <mergeCell ref="I165:J165"/>
    <mergeCell ref="I161:J161"/>
    <mergeCell ref="I86:J86"/>
    <mergeCell ref="I88:J88"/>
    <mergeCell ref="I90:J90"/>
    <mergeCell ref="I92:L92"/>
    <mergeCell ref="N205:N206"/>
    <mergeCell ref="N235:N242"/>
    <mergeCell ref="K68:M68"/>
    <mergeCell ref="K74:M74"/>
    <mergeCell ref="K96:M96"/>
    <mergeCell ref="K102:M102"/>
    <mergeCell ref="K94:M94"/>
    <mergeCell ref="K99:M99"/>
    <mergeCell ref="K168:M168"/>
    <mergeCell ref="K173:L173"/>
    <mergeCell ref="K233:M233"/>
    <mergeCell ref="L177:M177"/>
    <mergeCell ref="L235:M235"/>
    <mergeCell ref="L162:M162"/>
    <mergeCell ref="L163:M163"/>
    <mergeCell ref="L176:M176"/>
    <mergeCell ref="K174:L174"/>
    <mergeCell ref="K107:M107"/>
    <mergeCell ref="L114:M114"/>
    <mergeCell ref="L115:M115"/>
    <mergeCell ref="L116:M116"/>
    <mergeCell ref="I104:L104"/>
    <mergeCell ref="I170:L170"/>
    <mergeCell ref="I162:J162"/>
    <mergeCell ref="I51:J51"/>
    <mergeCell ref="L127:M128"/>
    <mergeCell ref="D9:K12"/>
    <mergeCell ref="D14:K17"/>
    <mergeCell ref="L87:M87"/>
    <mergeCell ref="L130:M130"/>
    <mergeCell ref="L111:M111"/>
    <mergeCell ref="L249:M249"/>
    <mergeCell ref="L251:M251"/>
    <mergeCell ref="B227:J227"/>
    <mergeCell ref="I62:J62"/>
    <mergeCell ref="I127:J127"/>
    <mergeCell ref="I83:J83"/>
    <mergeCell ref="B99:J99"/>
    <mergeCell ref="B102:J102"/>
    <mergeCell ref="B111:J111"/>
    <mergeCell ref="I239:J239"/>
    <mergeCell ref="I122:J122"/>
    <mergeCell ref="B119:J119"/>
    <mergeCell ref="I123:J123"/>
    <mergeCell ref="I125:J125"/>
    <mergeCell ref="K226:L226"/>
    <mergeCell ref="I87:J87"/>
    <mergeCell ref="B101:J101"/>
  </mergeCells>
  <phoneticPr fontId="29" type="noConversion"/>
  <conditionalFormatting sqref="B212:F212 H212:K212">
    <cfRule type="expression" dxfId="3" priority="5">
      <formula>$I$205="Gross Metered"</formula>
    </cfRule>
  </conditionalFormatting>
  <conditionalFormatting sqref="B205:K205 B211:J212">
    <cfRule type="expression" dxfId="2" priority="3">
      <formula>$I$204="Not Included"</formula>
    </cfRule>
  </conditionalFormatting>
  <conditionalFormatting sqref="B205:K205 B212:K212">
    <cfRule type="expression" dxfId="1" priority="8">
      <formula>$I$204="Planned"</formula>
    </cfRule>
  </conditionalFormatting>
  <conditionalFormatting sqref="I205 L205 N205">
    <cfRule type="expression" dxfId="0" priority="7">
      <formula>$I$205="I Don't Know"</formula>
    </cfRule>
  </conditionalFormatting>
  <dataValidations xWindow="698" yWindow="807" count="21">
    <dataValidation type="list" allowBlank="1" showInputMessage="1" showErrorMessage="1" sqref="J65:J67" xr:uid="{00000000-0002-0000-0000-000000000000}">
      <formula1>"5%,10%,15%,20%,25%,30%,35%,40%,45%,50%,55%,60%,65%,70%,75%,80%,85%,90%,95%,100%"</formula1>
    </dataValidation>
    <dataValidation type="list" allowBlank="1" showInputMessage="1" showErrorMessage="1" sqref="I61:J61" xr:uid="{00000000-0002-0000-0000-000001000000}">
      <formula1>"1A,1B,2A,2B,3A,3B,3C,4A,4B,4C,5A,5B,5C,6A,6B,7A,7B,8A,8B"</formula1>
    </dataValidation>
    <dataValidation type="list" allowBlank="1" showInputMessage="1" showErrorMessage="1" sqref="I144" xr:uid="{00000000-0002-0000-0000-000002000000}">
      <formula1>"Urban, Suburban, Rural"</formula1>
    </dataValidation>
    <dataValidation type="list" allowBlank="1" showInputMessage="1" showErrorMessage="1" sqref="I244:J244 I268 J87:J88 I87:I89 I159 I253:J253 I176:J177 I125:J127 I278:J280 I251:J251 I148 I232:J232 J145 I145:I146 I150 I248:J248 I255:J256 I265:I266 I114:J116 I122:J123 I234:J239 I189 I160:J164" xr:uid="{00000000-0002-0000-0000-000003000000}">
      <formula1>"Yes, No"</formula1>
    </dataValidation>
    <dataValidation type="list" allowBlank="1" showInputMessage="1" showErrorMessage="1" sqref="I251:J251 I253:J253" xr:uid="{00000000-0002-0000-0000-000007000000}">
      <formula1>"Concrete, Steel, Heavy Timber, Wood Frame, Mix, Other"</formula1>
    </dataValidation>
    <dataValidation type="textLength" allowBlank="1" showInputMessage="1" showErrorMessage="1" promptTitle="Text lenght" prompt="500 word max" sqref="I274:J274" xr:uid="{00000000-0002-0000-0000-000009000000}">
      <formula1>1</formula1>
      <formula2>2000</formula2>
    </dataValidation>
    <dataValidation type="list" allowBlank="1" showInputMessage="1" showErrorMessage="1" sqref="O71:O73" xr:uid="{00000000-0002-0000-0000-00000A000000}">
      <formula1>$O$70:$O$72</formula1>
    </dataValidation>
    <dataValidation type="custom" errorStyle="warning" showInputMessage="1" showErrorMessage="1" prompt="Must equal 100%" sqref="J68:J69" xr:uid="{00000000-0002-0000-0000-00000B000000}">
      <formula1>SUM(J65:J67)=100%</formula1>
    </dataValidation>
    <dataValidation type="list" allowBlank="1" showInputMessage="1" showErrorMessage="1" sqref="I112:J112 I189:J189" xr:uid="{F92F170D-CDE9-4B1C-B728-E7D81B929613}">
      <formula1>"0: N/A,1: Outreach,2: Consult,3: Involve,4: Collaborate,5: Shared Leadership"</formula1>
    </dataValidation>
    <dataValidation type="list" allowBlank="1" showInputMessage="1" showErrorMessage="1" sqref="I62:J62" xr:uid="{ED49D594-7BF6-4A8F-96FF-47DEF4DDCEC1}">
      <formula1>"CA1,CA2,CA3,CA4,CA5,CA6,CA7,CA8,CA9,CA10,CA11,CA12,CA13,CA14,CA15,CA16"</formula1>
    </dataValidation>
    <dataValidation type="textLength" allowBlank="1" showInputMessage="1" showErrorMessage="1" promptTitle="Text lenght" prompt="500 word max" sqref="I100:J100 I97:J97" xr:uid="{00000000-0002-0000-0000-000005000000}">
      <formula1>1</formula1>
      <formula2>1500</formula2>
    </dataValidation>
    <dataValidation type="list" allowBlank="1" showInputMessage="1" showErrorMessage="1" sqref="I70:J70" xr:uid="{247A3D00-21E0-4851-B1D3-E43E10D2273D}">
      <formula1>"New Construction, Renovation, Interior Only"</formula1>
    </dataValidation>
    <dataValidation type="custom" allowBlank="1" showInputMessage="1" showErrorMessage="1" errorTitle="Exceeded Allowable Word Count" error="Please revise your narrative so it is less than 200 words. " promptTitle="Maximum Text Length" prompt="200 Words" sqref="B99:H99 B96:H96 B102:J102" xr:uid="{61576EA0-25E3-435A-B52E-81FEA595D0F1}">
      <formula1>LEN(B96)-LEN(SUBSTITUTE(B96," ",""))&lt;200</formula1>
    </dataValidation>
    <dataValidation type="custom" allowBlank="1" showInputMessage="1" showErrorMessage="1" errorTitle="Max Allowable Word Count" error="Please revise your narrative so it is less than 100 words. " promptTitle="Maximum Text Length" prompt="100 Words" sqref="B154:C154 B111:H111 B119:H119 B259:H259 B168:H168 B180:H180 B243:C243 B130:C130 B226:C226 B229:C229" xr:uid="{F55ECD2B-18B5-4770-9F04-19FA0F6570C2}">
      <formula1>LEN(B111)-LEN(SUBSTITUTE(B111," ",""))&lt;100</formula1>
    </dataValidation>
    <dataValidation type="custom" allowBlank="1" showInputMessage="1" showErrorMessage="1" errorTitle="Max Allowable Word Count" error="Please revise your narrative so it is less than 100 words. " promptTitle="Maximum Text Length" prompt="100 words" sqref="B273:J273 B283:J283" xr:uid="{2E340305-898A-48FF-8342-148109C7B2F9}">
      <formula1>LEN(B273)-LEN(SUBSTITUTE(B273," ",""))&lt;100</formula1>
    </dataValidation>
    <dataValidation type="list" allowBlank="1" showInputMessage="1" showErrorMessage="1" sqref="B198:B201" xr:uid="{63CDEB20-4001-419F-AC9B-A2024B035974}">
      <formula1>Fuel_Source_Carbon_Headers</formula1>
    </dataValidation>
    <dataValidation type="list" allowBlank="1" showErrorMessage="1" sqref="D197:D201 D211:D212" xr:uid="{80C74C34-4FA4-4328-970D-785B692AC8FA}">
      <formula1>Conversion_to_kBtu_Options</formula1>
    </dataValidation>
    <dataValidation type="list" allowBlank="1" showInputMessage="1" showErrorMessage="1" sqref="I204:J204" xr:uid="{632ECC0F-1439-4900-A4C5-E971A2681C1F}">
      <formula1>"Installed, Planned, Not Included"</formula1>
    </dataValidation>
    <dataValidation type="list" allowBlank="1" showInputMessage="1" showErrorMessage="1" sqref="I205:J205" xr:uid="{A9129E94-2C7F-477F-9AC5-1A41FC03C4D1}">
      <formula1>"Gross Metered, Net Metered, I Don't Know"</formula1>
    </dataValidation>
    <dataValidation type="list" allowBlank="1" showInputMessage="1" showErrorMessage="1" sqref="I165:J165" xr:uid="{1A29297F-4D42-42BE-8E91-8EB58DA02D46}">
      <formula1>"Yes, No, N/A"</formula1>
    </dataValidation>
    <dataValidation type="list" allowBlank="1" showInputMessage="1" showErrorMessage="1" sqref="I185:J185" xr:uid="{00000000-0002-0000-0000-00000C000000}">
      <formula1>$D$287:$D$330</formula1>
    </dataValidation>
  </dataValidations>
  <hyperlinks>
    <hyperlink ref="N88" r:id="rId1" xr:uid="{00000000-0004-0000-0000-000000000000}"/>
    <hyperlink ref="N66" r:id="rId2" xr:uid="{00000000-0004-0000-0000-000002000000}"/>
    <hyperlink ref="N65" r:id="rId3" xr:uid="{00000000-0004-0000-0000-000003000000}"/>
    <hyperlink ref="D8" r:id="rId4" xr:uid="{00000000-0004-0000-0000-000009000000}"/>
    <hyperlink ref="N61" r:id="rId5" xr:uid="{00000000-0004-0000-0000-00000B000000}"/>
    <hyperlink ref="N62" r:id="rId6" xr:uid="{FCB12305-B3CF-442E-BEDC-34623B2248DF}"/>
    <hyperlink ref="N92" r:id="rId7" display="AIA Toolkit for detailed strategies" xr:uid="{EBA73827-C50B-4074-B654-2F81ECB371BA}"/>
    <hyperlink ref="N104" r:id="rId8" display="AIA Toolkit for detailed strategies" xr:uid="{B1A91F49-26FA-49F6-BF57-CAC221452FED}"/>
    <hyperlink ref="N141" r:id="rId9" display="AIA Toolkit for detailed strategies" xr:uid="{BED23D99-FBAF-4FCD-8BCF-60AF87DC1947}"/>
    <hyperlink ref="N156" r:id="rId10" display="AIA Toolkit for detailed strategies" xr:uid="{051ACD1F-76BF-4E4D-AABD-5504D2F39788}"/>
    <hyperlink ref="N170" r:id="rId11" display="AIA Toolkit for detailed strategies" xr:uid="{129B2E12-3A80-437E-A62F-CF63F929CEDA}"/>
    <hyperlink ref="N182" r:id="rId12" display="AIA Toolkit for detailed strategies" xr:uid="{5B1E1293-90EF-4E79-A768-983FDCAC31E1}"/>
    <hyperlink ref="N231" r:id="rId13" display="AIA Toolkit for detailed strategies" xr:uid="{2962570F-F1C5-44E3-BD83-312E56691855}"/>
    <hyperlink ref="N261" r:id="rId14" display="AIA Toolkit for detailed strategies" xr:uid="{170E9906-1032-451C-91A4-6E7B044655BD}"/>
    <hyperlink ref="N275" r:id="rId15" display="AIA Toolkit for detailed strategies" xr:uid="{F685AA0C-A222-4681-A70E-40975111B3E7}"/>
    <hyperlink ref="N255:O255" r:id="rId16" display="Visualization" xr:uid="{F2F17672-A076-4FDB-A5B7-D53AA54DF9DE}"/>
    <hyperlink ref="N87" r:id="rId17" xr:uid="{364F8CBD-B649-4647-9E25-7640F00D2F79}"/>
    <hyperlink ref="N150" r:id="rId18" display="Bird friendly design" xr:uid="{03284F53-ADDA-436F-B626-286DE7E0BABA}"/>
    <hyperlink ref="N148" r:id="rId19" display="IDA" xr:uid="{1328C9E5-E65D-49B4-9569-F0020DDD20D5}"/>
    <hyperlink ref="N151" r:id="rId20" xr:uid="{F9BCF2DC-9EA1-41B7-B78A-9B1F1E0DF483}"/>
    <hyperlink ref="N67" r:id="rId21" xr:uid="{915548BA-2A8E-4B2A-B2D4-65746B022D2D}"/>
    <hyperlink ref="N60" r:id="rId22" xr:uid="{BABF09FE-6D2F-4956-A343-C288D618C7CE}"/>
    <hyperlink ref="N245" r:id="rId23" display="AIA Toolkit for detailed strategies" xr:uid="{90C8E47A-5B4D-47C9-BAF7-B1A9A611D4FE}"/>
    <hyperlink ref="N243" r:id="rId24" xr:uid="{15ABE0A1-1FD5-48D9-9433-BCB3576040F8}"/>
    <hyperlink ref="N252" r:id="rId25" xr:uid="{54CDD85D-68A6-4BD1-A4A6-8860929BE696}"/>
    <hyperlink ref="N86" r:id="rId26" xr:uid="{98D3561E-B16A-455D-8089-93AF4D67CD89}"/>
    <hyperlink ref="N133" r:id="rId27" xr:uid="{52E4AC3D-527A-4586-B342-E31DB8080F15}"/>
    <hyperlink ref="N134" r:id="rId28" location=":~:text=As%20it%20stands%2C%20the%20official,public%20comments%20on%20that%20proposal.)" xr:uid="{AF28AFC7-A409-4675-90CC-3C044C905922}"/>
    <hyperlink ref="N108" r:id="rId29" xr:uid="{13A8C59D-28E0-48C9-86C0-1FF488F0E1EC}"/>
    <hyperlink ref="N162" r:id="rId30" xr:uid="{476CC857-755A-4254-A250-150F90C22974}"/>
    <hyperlink ref="N248" r:id="rId31" xr:uid="{5A79558C-2576-4D5A-B5A1-9FE98C3B40BD}"/>
    <hyperlink ref="N253" r:id="rId32" xr:uid="{0B2ED477-D81B-4DC6-A665-A2D62463AC98}"/>
    <hyperlink ref="N265" r:id="rId33" xr:uid="{FE5AFD16-D5C8-45F8-B74F-A8C18DAE836B}"/>
    <hyperlink ref="N254" r:id="rId34" xr:uid="{45102537-C36A-4DF0-937A-CA08CFF8665E}"/>
    <hyperlink ref="N259" r:id="rId35" xr:uid="{CC51B6D8-C2E3-4FA4-B6AD-A40288560842}"/>
    <hyperlink ref="N76" r:id="rId36" display="https://aiacalifornia.org/design-awards-2/understanding-your-buildings-energy-and-carbon/" xr:uid="{69B5A6FE-936C-426D-AE54-A5FF2ADB6A29}"/>
  </hyperlinks>
  <pageMargins left="0.7" right="0.7" top="0.75" bottom="0.75" header="0.3" footer="0.3"/>
  <pageSetup paperSize="3" scale="60" fitToHeight="0" orientation="landscape" r:id="rId37"/>
  <rowBreaks count="5" manualBreakCount="5">
    <brk id="84" max="8" man="1"/>
    <brk id="102" max="16383" man="1"/>
    <brk id="140" max="8" man="1"/>
    <brk id="230" max="8" man="1"/>
    <brk id="260" max="8" man="1"/>
  </rowBreaks>
  <drawing r:id="rId38"/>
  <legacyDrawing r:id="rId39"/>
  <mc:AlternateContent xmlns:mc="http://schemas.openxmlformats.org/markup-compatibility/2006">
    <mc:Choice Requires="x14">
      <controls>
        <mc:AlternateContent xmlns:mc="http://schemas.openxmlformats.org/markup-compatibility/2006">
          <mc:Choice Requires="x14">
            <control shapeId="1032" r:id="rId40" name="Check Box 8">
              <controlPr locked="0" defaultSize="0" autoFill="0" autoLine="0" autoPict="0" altText="Confidential">
                <anchor moveWithCells="1">
                  <from>
                    <xdr:col>7</xdr:col>
                    <xdr:colOff>1076325</xdr:colOff>
                    <xdr:row>52</xdr:row>
                    <xdr:rowOff>19050</xdr:rowOff>
                  </from>
                  <to>
                    <xdr:col>8</xdr:col>
                    <xdr:colOff>600075</xdr:colOff>
                    <xdr:row>53</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98" yWindow="807" count="9">
        <x14:dataValidation type="list" allowBlank="1" showInputMessage="1" showErrorMessage="1" xr:uid="{A37D23E6-461D-417D-B437-CD83B73E8C04}">
          <x14:formula1>
            <xm:f>Dropdowns!$A$13:$A$15</xm:f>
          </x14:formula1>
          <xm:sqref>I190 I207:I208</xm:sqref>
        </x14:dataValidation>
        <x14:dataValidation type="list" allowBlank="1" showInputMessage="1" showErrorMessage="1" xr:uid="{00000000-0002-0000-0000-000008000000}">
          <x14:formula1>
            <xm:f>Dropdowns!$H$2:$H$9</xm:f>
          </x14:formula1>
          <xm:sqref>I108:J108</xm:sqref>
        </x14:dataValidation>
        <x14:dataValidation type="list" allowBlank="1" showInputMessage="1" showErrorMessage="1" xr:uid="{00000000-0002-0000-0000-00000F000000}">
          <x14:formula1>
            <xm:f>Dropdowns!$E$27:$E$66</xm:f>
          </x14:formula1>
          <xm:sqref>I66</xm:sqref>
        </x14:dataValidation>
        <x14:dataValidation type="list" allowBlank="1" xr:uid="{00000000-0002-0000-0000-000010000000}">
          <x14:formula1>
            <xm:f>Dropdowns!$E$27:$E$66</xm:f>
          </x14:formula1>
          <xm:sqref>I65 I67</xm:sqref>
        </x14:dataValidation>
        <x14:dataValidation type="list" allowBlank="1" showInputMessage="1" showErrorMessage="1" xr:uid="{25707FBF-4154-4367-80A7-E2CDA6B49A92}">
          <x14:formula1>
            <xm:f>Dropdowns!$N$2:$N$11</xm:f>
          </x14:formula1>
          <xm:sqref>I147:J147 I249:J249</xm:sqref>
        </x14:dataValidation>
        <x14:dataValidation type="list" allowBlank="1" showInputMessage="1" showErrorMessage="1" xr:uid="{07904501-27F9-4D95-A10F-83B3862F4417}">
          <x14:formula1>
            <xm:f>Dropdowns!$A$2:$A$8</xm:f>
          </x14:formula1>
          <xm:sqref>I250:J250</xm:sqref>
        </x14:dataValidation>
        <x14:dataValidation type="list" allowBlank="1" showInputMessage="1" showErrorMessage="1" xr:uid="{00F07326-F14E-4C40-8FC0-C686CC044ECA}">
          <x14:formula1>
            <xm:f>Dropdowns!$E$2:$E$10</xm:f>
          </x14:formula1>
          <xm:sqref>I269:J269</xm:sqref>
        </x14:dataValidation>
        <x14:dataValidation type="list" allowBlank="1" showInputMessage="1" showErrorMessage="1" xr:uid="{7EC0C102-A44A-4F6C-9327-D51EB8D70486}">
          <x14:formula1>
            <xm:f>Dropdowns!$C$2:$C$9</xm:f>
          </x14:formula1>
          <xm:sqref>I254:J254</xm:sqref>
        </x14:dataValidation>
        <x14:dataValidation type="list" allowBlank="1" showInputMessage="1" showErrorMessage="1" xr:uid="{61AC7FC0-8F4E-473B-93A7-2CA905329036}">
          <x14:formula1>
            <xm:f>Dropdowns!$H$13:$H$16</xm:f>
          </x14:formula1>
          <xm:sqref>I267:J267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F2669-E665-4C11-A561-A5DAF73E2173}">
  <dimension ref="A1:L241"/>
  <sheetViews>
    <sheetView topLeftCell="A35" workbookViewId="0">
      <selection activeCell="C44" sqref="C44"/>
    </sheetView>
  </sheetViews>
  <sheetFormatPr defaultRowHeight="15" x14ac:dyDescent="0.25"/>
  <cols>
    <col min="1" max="1" width="4.5703125" customWidth="1"/>
    <col min="3" max="3" width="150.28515625" customWidth="1"/>
    <col min="4" max="4" width="9.140625" style="73"/>
    <col min="6" max="6" width="8.85546875" style="74"/>
    <col min="7" max="7" width="25.5703125" style="74" customWidth="1"/>
    <col min="8" max="12" width="8.85546875" style="74"/>
  </cols>
  <sheetData>
    <row r="1" spans="1:5" x14ac:dyDescent="0.25">
      <c r="A1" s="97"/>
      <c r="B1" s="97"/>
      <c r="C1" s="97"/>
      <c r="D1" s="98"/>
      <c r="E1" s="131"/>
    </row>
    <row r="2" spans="1:5" hidden="1" x14ac:dyDescent="0.25">
      <c r="A2" s="97"/>
      <c r="B2" s="97" t="s">
        <v>142</v>
      </c>
      <c r="C2" s="99" t="str" cm="1">
        <f t="array" ref="C2:D2">'Common Application'!I51:J51</f>
        <v>MLK+PCH</v>
      </c>
      <c r="D2" s="98">
        <v>0</v>
      </c>
      <c r="E2" s="131"/>
    </row>
    <row r="3" spans="1:5" x14ac:dyDescent="0.25">
      <c r="A3" s="97"/>
      <c r="B3" s="100"/>
      <c r="C3" s="99"/>
      <c r="D3" s="98"/>
      <c r="E3" s="131"/>
    </row>
    <row r="4" spans="1:5" x14ac:dyDescent="0.25">
      <c r="A4" s="97"/>
      <c r="B4" s="100"/>
      <c r="C4" s="99"/>
      <c r="D4" s="98"/>
      <c r="E4" s="131"/>
    </row>
    <row r="5" spans="1:5" x14ac:dyDescent="0.25">
      <c r="A5" s="97"/>
      <c r="B5" s="100"/>
      <c r="C5" s="99"/>
      <c r="D5" s="98"/>
      <c r="E5" s="131"/>
    </row>
    <row r="6" spans="1:5" x14ac:dyDescent="0.25">
      <c r="A6" s="97"/>
      <c r="B6" s="97"/>
      <c r="C6" s="99"/>
      <c r="D6" s="98"/>
      <c r="E6" s="131"/>
    </row>
    <row r="7" spans="1:5" x14ac:dyDescent="0.25">
      <c r="A7" s="97"/>
      <c r="B7" s="97"/>
      <c r="C7" s="97"/>
      <c r="D7" s="98"/>
      <c r="E7" s="131"/>
    </row>
    <row r="8" spans="1:5" x14ac:dyDescent="0.25">
      <c r="A8" s="97"/>
      <c r="B8" s="97"/>
      <c r="C8" s="97"/>
      <c r="D8" s="98"/>
      <c r="E8" s="131"/>
    </row>
    <row r="9" spans="1:5" x14ac:dyDescent="0.25">
      <c r="A9" s="97"/>
      <c r="B9" s="97"/>
      <c r="C9" s="97"/>
      <c r="D9" s="98"/>
      <c r="E9" s="131"/>
    </row>
    <row r="10" spans="1:5" x14ac:dyDescent="0.25">
      <c r="A10" s="97"/>
      <c r="B10" s="97"/>
      <c r="C10" s="97"/>
      <c r="D10" s="98"/>
      <c r="E10" s="131"/>
    </row>
    <row r="11" spans="1:5" x14ac:dyDescent="0.25">
      <c r="A11" s="97"/>
      <c r="B11" s="97"/>
      <c r="C11" s="97"/>
      <c r="D11" s="98"/>
      <c r="E11" s="131"/>
    </row>
    <row r="12" spans="1:5" x14ac:dyDescent="0.25">
      <c r="A12" s="97"/>
      <c r="B12" s="97"/>
      <c r="C12" s="97"/>
      <c r="D12" s="98"/>
      <c r="E12" s="131"/>
    </row>
    <row r="13" spans="1:5" x14ac:dyDescent="0.25">
      <c r="A13" s="97"/>
      <c r="B13" s="97"/>
      <c r="C13" s="97"/>
      <c r="D13" s="98"/>
      <c r="E13" s="131"/>
    </row>
    <row r="14" spans="1:5" x14ac:dyDescent="0.25">
      <c r="A14" s="97"/>
      <c r="B14" s="97"/>
      <c r="C14" s="97"/>
      <c r="D14" s="98"/>
      <c r="E14" s="131"/>
    </row>
    <row r="15" spans="1:5" x14ac:dyDescent="0.25">
      <c r="A15" s="97"/>
      <c r="B15" s="97"/>
      <c r="C15" s="97"/>
      <c r="D15" s="98"/>
      <c r="E15" s="131"/>
    </row>
    <row r="16" spans="1:5" x14ac:dyDescent="0.25">
      <c r="A16" s="97"/>
      <c r="B16" s="97"/>
      <c r="C16" s="97"/>
      <c r="D16" s="98"/>
      <c r="E16" s="131"/>
    </row>
    <row r="17" spans="1:8" x14ac:dyDescent="0.25">
      <c r="A17" s="97"/>
      <c r="B17" s="97"/>
      <c r="C17" s="97"/>
      <c r="D17" s="98"/>
      <c r="E17" s="131"/>
    </row>
    <row r="18" spans="1:8" x14ac:dyDescent="0.25">
      <c r="A18" s="97"/>
      <c r="B18" s="97"/>
      <c r="C18" s="97"/>
      <c r="D18" s="98"/>
      <c r="E18" s="131"/>
    </row>
    <row r="19" spans="1:8" x14ac:dyDescent="0.25">
      <c r="A19" s="97"/>
      <c r="B19" s="97"/>
      <c r="C19" s="97"/>
      <c r="D19" s="98"/>
      <c r="E19" s="131"/>
    </row>
    <row r="20" spans="1:8" x14ac:dyDescent="0.25">
      <c r="A20" s="97"/>
      <c r="B20" s="97"/>
      <c r="C20" s="97"/>
      <c r="D20" s="98"/>
      <c r="E20" s="131"/>
    </row>
    <row r="21" spans="1:8" x14ac:dyDescent="0.25">
      <c r="A21" s="97"/>
      <c r="B21" s="97"/>
      <c r="C21" s="97"/>
      <c r="D21" s="98"/>
      <c r="E21" s="131"/>
    </row>
    <row r="22" spans="1:8" x14ac:dyDescent="0.25">
      <c r="A22" s="97"/>
      <c r="B22" s="97"/>
      <c r="C22" s="97"/>
      <c r="D22" s="98"/>
      <c r="E22" s="131"/>
    </row>
    <row r="23" spans="1:8" x14ac:dyDescent="0.25">
      <c r="A23" s="97"/>
      <c r="B23" s="97"/>
      <c r="C23" s="97"/>
      <c r="D23" s="98"/>
      <c r="E23" s="131"/>
    </row>
    <row r="24" spans="1:8" x14ac:dyDescent="0.25">
      <c r="A24" s="97"/>
      <c r="B24" s="97"/>
      <c r="C24" s="97"/>
      <c r="D24" s="98"/>
      <c r="E24" s="131"/>
    </row>
    <row r="25" spans="1:8" x14ac:dyDescent="0.25">
      <c r="A25" s="97"/>
      <c r="B25" s="97"/>
      <c r="C25" s="97"/>
      <c r="D25" s="98"/>
      <c r="E25" s="131"/>
    </row>
    <row r="26" spans="1:8" x14ac:dyDescent="0.25">
      <c r="A26" s="97"/>
      <c r="B26" s="97"/>
      <c r="C26" s="97"/>
      <c r="D26" s="98"/>
      <c r="E26" s="131"/>
    </row>
    <row r="27" spans="1:8" x14ac:dyDescent="0.25">
      <c r="A27" s="102"/>
      <c r="B27" s="103"/>
      <c r="C27" s="103"/>
      <c r="D27" s="104"/>
      <c r="E27" s="131"/>
      <c r="G27" s="565"/>
      <c r="H27" s="565"/>
    </row>
    <row r="28" spans="1:8" x14ac:dyDescent="0.25">
      <c r="A28" s="105"/>
      <c r="B28" s="106"/>
      <c r="C28" s="107" t="str">
        <f>'Common Application'!B95</f>
        <v>Project Summary Statement</v>
      </c>
      <c r="D28" s="108"/>
      <c r="E28" s="131"/>
    </row>
    <row r="29" spans="1:8" ht="130.15" customHeight="1" x14ac:dyDescent="0.25">
      <c r="A29" s="105"/>
      <c r="B29" s="106"/>
      <c r="C29" s="101" t="str">
        <f>'Common Application'!B96</f>
        <v xml:space="preserve">The MLK+PCH development is an urban revitalization project in Long Beach, California. It transforms a previously vacant lot and automotive garage into a thriving mixed-use community aimed at benefiting the neighborhood.
The development focuses on providing affordable senior housing on the upper floors. Meanwhile, the ground floor is a multi-purpose space, including a non-profit partner, resident services, lobby known as the “porch”, and bike amenity, intended to foster community engagement.
Architecturally, the project takes inspiration from the streamline moderne style of nearby revered educational institutions, Long Beach City College and Long Beach Polytechnic High School. This creates a sense of neighborhood continuity and pride by using architectural styles familiar in existing larger scale buildings. Resident amenities include at the podium a communal garden with potting area, outdoor seating with fire pit, and a shared lounge. This encourages natural interaction and bonding amongst residents. The development also plays a role in the local arts corridor developing along Martin Luther King Boulevard, with three murals celebrating the area’s heritage. The highlight mural at the corner of MLK+PCH pays homage to world famous VIP records located across the street, a hip-hop landmark and the birthplace of G-Funk and the neighborhood’s established African-American community. </v>
      </c>
      <c r="D29" s="108"/>
      <c r="E29" s="131"/>
    </row>
    <row r="30" spans="1:8" x14ac:dyDescent="0.25">
      <c r="A30" s="105"/>
      <c r="B30" s="106"/>
      <c r="C30" s="106"/>
      <c r="D30" s="108"/>
      <c r="E30" s="131"/>
    </row>
    <row r="31" spans="1:8" x14ac:dyDescent="0.25">
      <c r="A31" s="105"/>
      <c r="B31" s="106"/>
      <c r="C31" s="107" t="str">
        <f>'Common Application'!B98</f>
        <v>Client Impact Statement</v>
      </c>
      <c r="D31" s="108"/>
      <c r="E31" s="131"/>
    </row>
    <row r="32" spans="1:8" ht="130.15" customHeight="1" x14ac:dyDescent="0.25">
      <c r="A32" s="105"/>
      <c r="B32" s="106"/>
      <c r="C32" s="101" t="str">
        <f>'Common Application'!B99</f>
        <v>The project was initiated through a City RFP process. Teaming with our client, Mercy Housing, a successful project narrative was established integrating art that met Mercy's goal of building a vibrant mixed-use development providing dignified affordable housing for seniors, 34 of which allocated for formerly homeless, while also designing a project integrated into the character of the existing community. Although the city's zoning code required retail along Pacific Coast Highway, we advocated that a design of active ground floor uses was more essential for the neighborhood, and instead designed for a mailroom, bike amenity, lobby, and resident service spaces along the street frontage. Partnering with a non-profit, The Do Good Daniels Foundation, to reside on the remaining ground floor that provides supportive services for youth and also allows the opportunity for seniors to interact and engage.
The building massing responds to community concerns regarding height and is designed to gracefully step down towards the adjacent single-family homes. The second-floor courtyard space is shielded from adjacent properties by lush landscape. This resulted in unanimous support during the public approval process. The project now evokes community pride serving as a backdrop for media during neighborhood events, parades and gatherings.</v>
      </c>
      <c r="D32" s="108"/>
      <c r="E32" s="131"/>
    </row>
    <row r="33" spans="1:5" x14ac:dyDescent="0.25">
      <c r="A33" s="105"/>
      <c r="B33" s="106"/>
      <c r="C33" s="106"/>
      <c r="D33" s="108"/>
      <c r="E33" s="131"/>
    </row>
    <row r="34" spans="1:5" x14ac:dyDescent="0.25">
      <c r="A34" s="105"/>
      <c r="B34" s="106"/>
      <c r="C34" s="107" t="str">
        <f>'Common Application'!B101</f>
        <v>Statement of Design Excellence</v>
      </c>
      <c r="D34" s="108"/>
      <c r="E34" s="131"/>
    </row>
    <row r="35" spans="1:5" ht="130.15" customHeight="1" x14ac:dyDescent="0.25">
      <c r="A35" s="105"/>
      <c r="B35" s="106"/>
      <c r="C35" s="101" t="str">
        <f>'Common Application'!B102</f>
        <v>Sustainability is a key focus, with the project achieving LEED Gold certification. The building utilizes roof-mounted solar thermal design, passive ventilation within all residential units, and all-electric appliances throughout. Since private resident balconies were not desirable along the busy southern street frontage, the north side is designed for ample tranquil outdoor space in the courtyard with resident community gardens where seniors can grow their flowers, fruits and vegetables. A citrus allée provides seniors with crops adjacent to an outdoor covered potting area offering a place for residents to work on their plants. An adjacent indoor communal lounge and kitchen space can be used for cooking lessons associated with garden harvests.
The ground floor hosts Do Good Daniels Foundation, a non-profit organization that supports youth and their families, allowing seniors to engage in programs.  The alleyway adjacent to the development is improved with landscaping, including trees and a bamboo hedge. New street trees are planted along the remaining street frontages, including six trees along Pacific Coast Highway to enhance pedestrian comfort. A bus stop with high-frequency routes is located in front of the building linking residents to multiple destinations and within a 1/2 mile of the LA Metro A-Line</v>
      </c>
      <c r="D35" s="108"/>
      <c r="E35" s="131"/>
    </row>
    <row r="36" spans="1:5" x14ac:dyDescent="0.25">
      <c r="A36" s="105"/>
      <c r="B36" s="106"/>
      <c r="C36" s="106"/>
      <c r="D36" s="108"/>
      <c r="E36" s="131"/>
    </row>
    <row r="37" spans="1:5" x14ac:dyDescent="0.25">
      <c r="A37" s="105"/>
      <c r="B37" s="106"/>
      <c r="C37" s="107" t="str" cm="1">
        <f t="array" ref="C37:E37">'Common Application'!B153:D153</f>
        <v>Design for Ecosystems Narrative</v>
      </c>
      <c r="D37" s="108">
        <v>0</v>
      </c>
      <c r="E37" s="131">
        <v>0</v>
      </c>
    </row>
    <row r="38" spans="1:5" ht="79.5" customHeight="1" x14ac:dyDescent="0.25">
      <c r="A38" s="105"/>
      <c r="B38" s="106"/>
      <c r="C38" s="101" t="str">
        <f>'Common Application'!B154</f>
        <v xml:space="preserve">
The project revitalized a suburban site along PCH which previously contained an old automotive garage and a vacant dirt lot. The design enhances an existing adjacent alleyway with drought tolerant landscaping, including trees and a bamboo hedge along the property line. New trees are also planted along all three street frontages, including six trees along PCH providing pedestrian comfort. The northern edge of the property is a designated courtyard with resident community gardens for seniors to grow their own flowers, fruits and vegetables. The remaining planting utilizes drought tolerant landscape intended to attract and foster pollinators.</v>
      </c>
      <c r="D38" s="108"/>
      <c r="E38" s="131"/>
    </row>
    <row r="39" spans="1:5" x14ac:dyDescent="0.25">
      <c r="A39" s="105"/>
      <c r="B39" s="106"/>
      <c r="C39" s="106"/>
      <c r="D39" s="108"/>
      <c r="E39" s="131"/>
    </row>
    <row r="40" spans="1:5" x14ac:dyDescent="0.25">
      <c r="A40" s="105"/>
      <c r="B40" s="106"/>
      <c r="C40" s="107" t="str" cm="1">
        <f t="array" ref="C40:E40">'Common Application'!B167:D167</f>
        <v>Design for Water Narrative</v>
      </c>
      <c r="D40" s="108">
        <v>0</v>
      </c>
      <c r="E40" s="131">
        <v>0</v>
      </c>
    </row>
    <row r="41" spans="1:5" ht="80.25" customHeight="1" x14ac:dyDescent="0.25">
      <c r="A41" s="105"/>
      <c r="B41" s="106"/>
      <c r="C41" s="101" t="str" cm="1">
        <f t="array" ref="C41:E41">'Common Application'!B168:D168</f>
        <v>The building storm water is diverted into four underground cisterns and then pumped to a modular wetland biofiltration system prior to disposing into the public storm drain system. The wetlands system is integrated into the landscape design. Drip irrigation was utilized for water efficiency and plant species were selected for hardiness, architectural character, ability to attract pollinators, and their ability to thrive only on natural rainfall after establishment. Organic compost and mulch were incorporated to improve soil health, reduce evaporative water loss, minimize weeds, and support overall plant health. All plumbing fixtures on the project are water efficient fixtures.</v>
      </c>
      <c r="D41" s="108">
        <v>0</v>
      </c>
      <c r="E41" s="131">
        <v>0</v>
      </c>
    </row>
    <row r="42" spans="1:5" x14ac:dyDescent="0.25">
      <c r="A42" s="105"/>
      <c r="B42" s="106"/>
      <c r="C42" s="106"/>
      <c r="D42" s="108"/>
      <c r="E42" s="131"/>
    </row>
    <row r="43" spans="1:5" x14ac:dyDescent="0.25">
      <c r="A43" s="105"/>
      <c r="B43" s="106"/>
      <c r="C43" s="107" t="str" cm="1">
        <f t="array" ref="C43:E43">'Common Application'!B179:D179</f>
        <v>Design for Economy Narrative</v>
      </c>
      <c r="D43" s="108">
        <v>0</v>
      </c>
      <c r="E43" s="131">
        <v>0</v>
      </c>
    </row>
    <row r="44" spans="1:5" ht="80.25" customHeight="1" x14ac:dyDescent="0.25">
      <c r="A44" s="105"/>
      <c r="B44" s="106"/>
      <c r="C44" s="101" t="str" cm="1">
        <f t="array" ref="C44:E44">'Common Application'!B180:D180</f>
        <v>The development provides affordable housing for seniors, with 34 units allocated for the formerly unhoused. The ground floor lobby serves several uses to remain active such as a lounge, mailroom and front porch for residents to safely watch street activity and wait for transit with a stop directly outside. The corridor serving offices runs along the storefront providing privacy and greater thermal comfort for employees. A covered potting area and fire pit with chairs serves as informal spaces for residents to interact. The community room is designed as a flex space allowing for numerous seating configurations for varied events.</v>
      </c>
      <c r="D44" s="108">
        <v>0</v>
      </c>
      <c r="E44" s="131">
        <v>0</v>
      </c>
    </row>
    <row r="45" spans="1:5" x14ac:dyDescent="0.25">
      <c r="A45" s="105"/>
      <c r="B45" s="106"/>
      <c r="C45" s="106"/>
      <c r="D45" s="108"/>
      <c r="E45" s="131"/>
    </row>
    <row r="46" spans="1:5" x14ac:dyDescent="0.25">
      <c r="A46" s="105"/>
      <c r="B46" s="106"/>
      <c r="C46" s="107" t="str" cm="1">
        <f t="array" ref="C46:E46">'Common Application'!B228:D228</f>
        <v>Design for Energy Narrative</v>
      </c>
      <c r="D46" s="108">
        <v>0</v>
      </c>
      <c r="E46" s="131">
        <v>0</v>
      </c>
    </row>
    <row r="47" spans="1:5" ht="79.5" customHeight="1" x14ac:dyDescent="0.25">
      <c r="A47" s="105"/>
      <c r="B47" s="106"/>
      <c r="C47" s="101" t="str" cm="1">
        <f t="array" ref="C47:E47">'Common Application'!B229:D229</f>
        <v>In addition to the measures above, the project also pursued LEED for Homes certification, which involved rigorous onsite verifications for quality insulation installation, commissioning, and HERS testing of all major equipment. The certification also motivated the use of low-flow water fixtures, responsible material acquisition and waste management, and low-carbon effects via reduced transportation needs due to local community resources and transit options.</v>
      </c>
      <c r="D47" s="108">
        <v>0</v>
      </c>
      <c r="E47" s="131">
        <v>0</v>
      </c>
    </row>
    <row r="48" spans="1:5" x14ac:dyDescent="0.25">
      <c r="A48" s="105"/>
      <c r="B48" s="106"/>
      <c r="C48" s="106"/>
      <c r="D48" s="108"/>
      <c r="E48" s="131"/>
    </row>
    <row r="49" spans="1:5" x14ac:dyDescent="0.25">
      <c r="A49" s="105"/>
      <c r="B49" s="106"/>
      <c r="C49" s="107" t="str" cm="1">
        <f t="array" ref="C49:E49">'Common Application'!B242:D242</f>
        <v>Design for Well-being Narrative</v>
      </c>
      <c r="D49" s="108">
        <v>0</v>
      </c>
      <c r="E49" s="131">
        <v>0</v>
      </c>
    </row>
    <row r="50" spans="1:5" ht="79.5" customHeight="1" x14ac:dyDescent="0.25">
      <c r="A50" s="105"/>
      <c r="B50" s="106"/>
      <c r="C50" s="101" t="str" cm="1">
        <f t="array" ref="C50:E50">'Common Application'!B243:D243</f>
        <v>The design includes features promoting active living for seniors, such as an exterior decorative stair along MLK Boulevard and a second  outdoor stair that provides direct access to the courtyard. In addition to all residential units having full height operable windows in the bedroom and living spaces, all corridors also have windows connecting residents to daylight and place. The courtyard is intentionally located on the northern edge to leverage connection to nature with tree top and mountain views beyond. The space is also shielded from the high-trafficked PCH while taking advantage of lower-level northern sun exposure for sensitive seniors.</v>
      </c>
      <c r="D50" s="108">
        <v>0</v>
      </c>
      <c r="E50" s="131">
        <v>0</v>
      </c>
    </row>
    <row r="51" spans="1:5" x14ac:dyDescent="0.25">
      <c r="A51" s="105"/>
      <c r="B51" s="106"/>
      <c r="C51" s="106"/>
      <c r="D51" s="108"/>
      <c r="E51" s="131"/>
    </row>
    <row r="52" spans="1:5" x14ac:dyDescent="0.25">
      <c r="A52" s="105"/>
      <c r="B52" s="106"/>
      <c r="C52" s="107" t="str" cm="1">
        <f t="array" ref="C52:E52">'Common Application'!B258:D258</f>
        <v>Design for Resources Narrative</v>
      </c>
      <c r="D52" s="108">
        <v>0</v>
      </c>
      <c r="E52" s="131">
        <v>0</v>
      </c>
    </row>
    <row r="53" spans="1:5" ht="80.25" customHeight="1" x14ac:dyDescent="0.25">
      <c r="A53" s="105"/>
      <c r="B53" s="106"/>
      <c r="C53" s="101" t="str" cm="1">
        <f t="array" ref="C53:E53">'Common Application'!B259:D259</f>
        <v>The building was designed with resiliency in mind, and the LEED certification for the project enforces this concept by promoting durability management practices regarding water, materials, and smart landscaping techniques. Additionally, the increased building performance and efficiencies of energy-consuming systems will reduce the need for repairs and replacements over time.
The project also utilizes a mixture of concrete, wood, and metal-framing all throughout to enforce a stronger building lifecycle.</v>
      </c>
      <c r="D53" s="108">
        <v>0</v>
      </c>
      <c r="E53" s="131">
        <v>0</v>
      </c>
    </row>
    <row r="54" spans="1:5" x14ac:dyDescent="0.25">
      <c r="A54" s="105"/>
      <c r="B54" s="106"/>
      <c r="C54" s="106"/>
      <c r="D54" s="108"/>
      <c r="E54" s="131"/>
    </row>
    <row r="55" spans="1:5" x14ac:dyDescent="0.25">
      <c r="A55" s="105"/>
      <c r="B55" s="106"/>
      <c r="C55" s="107" t="str">
        <f>'Common Application'!B272</f>
        <v>Design for Change Narrative</v>
      </c>
      <c r="D55" s="108"/>
      <c r="E55" s="131"/>
    </row>
    <row r="56" spans="1:5" ht="80.25" customHeight="1" x14ac:dyDescent="0.25">
      <c r="A56" s="105"/>
      <c r="B56" s="106"/>
      <c r="C56" s="101" t="str" cm="1">
        <f t="array" ref="C56:E56">'Common Application'!B273:D273</f>
        <v>The project is designed to meet the California Building Code for earthquakes. Other than the community garden, all landscape is drought tolerant to minimize water usage. The ground floor is designed as an open structural grid allowing flexible demising and uses. Currently, half the ground floor is designated for resident services, but if no longer needed, this space could be leased separately for both office or retail use. Similarly, the other half of the ground floor can be divided into two separate tenants. Parking, loading and trash for future uses is already accommodated into the development.</v>
      </c>
      <c r="D56" s="108">
        <v>0</v>
      </c>
      <c r="E56" s="131">
        <v>0</v>
      </c>
    </row>
    <row r="57" spans="1:5" x14ac:dyDescent="0.25">
      <c r="A57" s="105"/>
      <c r="B57" s="106"/>
      <c r="C57" s="106"/>
      <c r="D57" s="108"/>
      <c r="E57" s="131"/>
    </row>
    <row r="58" spans="1:5" x14ac:dyDescent="0.25">
      <c r="A58" s="105"/>
      <c r="B58" s="106"/>
      <c r="C58" s="107" t="str" cm="1">
        <f t="array" ref="C58:E58">'Common Application'!B282:D282</f>
        <v>Design for Discovery Narrative</v>
      </c>
      <c r="D58" s="108">
        <v>0</v>
      </c>
      <c r="E58" s="131">
        <v>0</v>
      </c>
    </row>
    <row r="59" spans="1:5" ht="80.25" customHeight="1" x14ac:dyDescent="0.25">
      <c r="A59" s="105"/>
      <c r="B59" s="106"/>
      <c r="C59" s="101" t="str" cm="1">
        <f t="array" ref="C59:E59">'Common Application'!B283:D283</f>
        <v>Our engagement continues after building occupancy, as an integrated studio of architecture and landscape design, both work groups have visited to engage with residents. This includes teaching best practices at a planting kick-off and volunteering at the annual holiday party. By building trust, we have learned the lobby front porch and outdoor stair concepts have been well received and incorporated into a resident walking loop. One request that may be considered longer term if the ground floor space becomes available is the addition of a fitness space.</v>
      </c>
      <c r="D59" s="108">
        <v>0</v>
      </c>
      <c r="E59" s="131">
        <v>0</v>
      </c>
    </row>
    <row r="60" spans="1:5" x14ac:dyDescent="0.25">
      <c r="A60" s="105"/>
      <c r="B60" s="106"/>
      <c r="C60" s="21"/>
      <c r="D60" s="108"/>
      <c r="E60" s="131"/>
    </row>
    <row r="61" spans="1:5" x14ac:dyDescent="0.25">
      <c r="A61" s="109"/>
      <c r="B61" s="110"/>
      <c r="C61" s="111"/>
      <c r="D61" s="112"/>
      <c r="E61" s="131"/>
    </row>
    <row r="62" spans="1:5" x14ac:dyDescent="0.25">
      <c r="A62" s="23"/>
      <c r="B62" s="23"/>
      <c r="C62" s="23"/>
      <c r="D62" s="91"/>
    </row>
    <row r="63" spans="1:5" x14ac:dyDescent="0.25">
      <c r="A63" s="23"/>
      <c r="B63" s="23"/>
      <c r="C63" s="23"/>
      <c r="D63" s="91"/>
    </row>
    <row r="64" spans="1:5" x14ac:dyDescent="0.25">
      <c r="A64" s="23"/>
      <c r="B64" s="23"/>
      <c r="C64" s="23"/>
      <c r="D64" s="91"/>
    </row>
    <row r="65" spans="1:4" x14ac:dyDescent="0.25">
      <c r="A65" s="23"/>
      <c r="B65" s="23"/>
      <c r="C65" s="23"/>
      <c r="D65" s="91"/>
    </row>
    <row r="66" spans="1:4" x14ac:dyDescent="0.25">
      <c r="A66" s="23"/>
      <c r="B66" s="23"/>
      <c r="C66" s="23"/>
      <c r="D66" s="91"/>
    </row>
    <row r="67" spans="1:4" x14ac:dyDescent="0.25">
      <c r="A67" s="23"/>
      <c r="B67" s="23"/>
      <c r="C67" s="23"/>
      <c r="D67" s="91"/>
    </row>
    <row r="68" spans="1:4" x14ac:dyDescent="0.25">
      <c r="A68" s="23"/>
      <c r="B68" s="23"/>
      <c r="C68" s="23"/>
      <c r="D68" s="91"/>
    </row>
    <row r="69" spans="1:4" x14ac:dyDescent="0.25">
      <c r="A69" s="23"/>
      <c r="B69" s="23"/>
      <c r="C69" s="23"/>
      <c r="D69" s="91"/>
    </row>
    <row r="70" spans="1:4" x14ac:dyDescent="0.25">
      <c r="A70" s="23"/>
      <c r="B70" s="23"/>
      <c r="C70" s="23"/>
      <c r="D70" s="91"/>
    </row>
    <row r="71" spans="1:4" x14ac:dyDescent="0.25">
      <c r="A71" s="23"/>
      <c r="B71" s="23"/>
      <c r="C71" s="23"/>
      <c r="D71" s="91"/>
    </row>
    <row r="72" spans="1:4" x14ac:dyDescent="0.25">
      <c r="A72" s="23"/>
      <c r="B72" s="23"/>
      <c r="C72" s="23"/>
      <c r="D72" s="91"/>
    </row>
    <row r="73" spans="1:4" x14ac:dyDescent="0.25">
      <c r="A73" s="23"/>
      <c r="B73" s="23"/>
      <c r="C73" s="23"/>
      <c r="D73" s="91"/>
    </row>
    <row r="74" spans="1:4" x14ac:dyDescent="0.25">
      <c r="A74" s="23"/>
      <c r="B74" s="23"/>
      <c r="C74" s="23"/>
      <c r="D74" s="91"/>
    </row>
    <row r="75" spans="1:4" x14ac:dyDescent="0.25">
      <c r="A75" s="23"/>
      <c r="B75" s="23"/>
      <c r="C75" s="23"/>
      <c r="D75" s="91"/>
    </row>
    <row r="76" spans="1:4" x14ac:dyDescent="0.25">
      <c r="A76" s="23"/>
      <c r="B76" s="23"/>
      <c r="C76" s="23"/>
      <c r="D76" s="91"/>
    </row>
    <row r="77" spans="1:4" x14ac:dyDescent="0.25">
      <c r="A77" s="23"/>
      <c r="B77" s="23"/>
      <c r="C77" s="23"/>
      <c r="D77" s="91"/>
    </row>
    <row r="78" spans="1:4" x14ac:dyDescent="0.25">
      <c r="A78" s="23"/>
      <c r="B78" s="23"/>
      <c r="C78" s="23"/>
      <c r="D78" s="91"/>
    </row>
    <row r="79" spans="1:4" x14ac:dyDescent="0.25">
      <c r="A79" s="23"/>
      <c r="B79" s="23"/>
      <c r="C79" s="23"/>
      <c r="D79" s="91"/>
    </row>
    <row r="80" spans="1:4" x14ac:dyDescent="0.25">
      <c r="A80" s="23"/>
      <c r="B80" s="23"/>
      <c r="C80" s="23"/>
      <c r="D80" s="91"/>
    </row>
    <row r="81" spans="1:4" x14ac:dyDescent="0.25">
      <c r="A81" s="23"/>
      <c r="B81" s="23"/>
      <c r="C81" s="23"/>
      <c r="D81" s="91"/>
    </row>
    <row r="82" spans="1:4" x14ac:dyDescent="0.25">
      <c r="A82" s="23"/>
      <c r="B82" s="23"/>
      <c r="C82" s="23"/>
      <c r="D82" s="91"/>
    </row>
    <row r="83" spans="1:4" x14ac:dyDescent="0.25">
      <c r="A83" s="23"/>
      <c r="B83" s="23"/>
      <c r="C83" s="23"/>
      <c r="D83" s="91"/>
    </row>
    <row r="84" spans="1:4" x14ac:dyDescent="0.25">
      <c r="A84" s="23"/>
      <c r="B84" s="23"/>
      <c r="C84" s="23"/>
      <c r="D84" s="91"/>
    </row>
    <row r="85" spans="1:4" x14ac:dyDescent="0.25">
      <c r="A85" s="23"/>
      <c r="B85" s="23"/>
      <c r="C85" s="23"/>
      <c r="D85" s="91"/>
    </row>
    <row r="86" spans="1:4" x14ac:dyDescent="0.25">
      <c r="A86" s="23"/>
      <c r="B86" s="23"/>
      <c r="C86" s="23"/>
      <c r="D86" s="91"/>
    </row>
    <row r="87" spans="1:4" x14ac:dyDescent="0.25">
      <c r="A87" s="23"/>
      <c r="B87" s="23"/>
      <c r="C87" s="23"/>
      <c r="D87" s="91"/>
    </row>
    <row r="88" spans="1:4" x14ac:dyDescent="0.25">
      <c r="A88" s="23"/>
      <c r="B88" s="23"/>
      <c r="C88" s="23"/>
      <c r="D88" s="91"/>
    </row>
    <row r="89" spans="1:4" x14ac:dyDescent="0.25">
      <c r="A89" s="23"/>
      <c r="B89" s="23"/>
      <c r="C89" s="23"/>
      <c r="D89" s="91"/>
    </row>
    <row r="90" spans="1:4" x14ac:dyDescent="0.25">
      <c r="A90" s="23"/>
      <c r="B90" s="23"/>
      <c r="C90" s="23"/>
      <c r="D90" s="91"/>
    </row>
    <row r="91" spans="1:4" x14ac:dyDescent="0.25">
      <c r="A91" s="23"/>
      <c r="B91" s="23"/>
      <c r="C91" s="23"/>
      <c r="D91" s="91"/>
    </row>
    <row r="92" spans="1:4" x14ac:dyDescent="0.25">
      <c r="A92" s="23"/>
      <c r="B92" s="23"/>
      <c r="C92" s="23"/>
      <c r="D92" s="91"/>
    </row>
    <row r="93" spans="1:4" x14ac:dyDescent="0.25">
      <c r="A93" s="23"/>
      <c r="B93" s="23"/>
      <c r="C93" s="23"/>
      <c r="D93" s="91"/>
    </row>
    <row r="94" spans="1:4" x14ac:dyDescent="0.25">
      <c r="A94" s="23"/>
      <c r="B94" s="23"/>
      <c r="C94" s="23"/>
      <c r="D94" s="91"/>
    </row>
    <row r="95" spans="1:4" x14ac:dyDescent="0.25">
      <c r="A95" s="23"/>
      <c r="B95" s="23"/>
      <c r="C95" s="23"/>
      <c r="D95" s="91"/>
    </row>
    <row r="96" spans="1:4" x14ac:dyDescent="0.25">
      <c r="A96" s="23"/>
      <c r="B96" s="23"/>
      <c r="C96" s="23"/>
      <c r="D96" s="91"/>
    </row>
    <row r="97" spans="1:4" x14ac:dyDescent="0.25">
      <c r="A97" s="23"/>
      <c r="B97" s="23"/>
      <c r="C97" s="23"/>
      <c r="D97" s="91"/>
    </row>
    <row r="98" spans="1:4" x14ac:dyDescent="0.25">
      <c r="A98" s="23"/>
      <c r="B98" s="23"/>
      <c r="C98" s="23"/>
      <c r="D98" s="91"/>
    </row>
    <row r="99" spans="1:4" x14ac:dyDescent="0.25">
      <c r="A99" s="23"/>
      <c r="B99" s="23"/>
      <c r="C99" s="23"/>
      <c r="D99" s="91"/>
    </row>
    <row r="100" spans="1:4" x14ac:dyDescent="0.25">
      <c r="A100" s="23"/>
      <c r="B100" s="23"/>
      <c r="C100" s="23"/>
      <c r="D100" s="91"/>
    </row>
    <row r="101" spans="1:4" x14ac:dyDescent="0.25">
      <c r="A101" s="23"/>
      <c r="B101" s="23"/>
      <c r="C101" s="23"/>
      <c r="D101" s="91"/>
    </row>
    <row r="102" spans="1:4" x14ac:dyDescent="0.25">
      <c r="A102" s="23"/>
      <c r="B102" s="23"/>
      <c r="C102" s="23"/>
      <c r="D102" s="91"/>
    </row>
    <row r="103" spans="1:4" x14ac:dyDescent="0.25">
      <c r="A103" s="23"/>
      <c r="B103" s="23"/>
      <c r="C103" s="23"/>
      <c r="D103" s="91"/>
    </row>
    <row r="104" spans="1:4" x14ac:dyDescent="0.25">
      <c r="A104" s="23"/>
      <c r="B104" s="23"/>
      <c r="C104" s="23"/>
      <c r="D104" s="91"/>
    </row>
    <row r="105" spans="1:4" x14ac:dyDescent="0.25">
      <c r="A105" s="23"/>
      <c r="B105" s="23"/>
      <c r="C105" s="23"/>
      <c r="D105" s="91"/>
    </row>
    <row r="106" spans="1:4" x14ac:dyDescent="0.25">
      <c r="A106" s="23"/>
      <c r="B106" s="23"/>
      <c r="C106" s="23"/>
      <c r="D106" s="91"/>
    </row>
    <row r="107" spans="1:4" x14ac:dyDescent="0.25">
      <c r="A107" s="23"/>
      <c r="B107" s="23"/>
      <c r="C107" s="23"/>
      <c r="D107" s="91"/>
    </row>
    <row r="108" spans="1:4" x14ac:dyDescent="0.25">
      <c r="A108" s="23"/>
      <c r="B108" s="23"/>
      <c r="C108" s="23"/>
      <c r="D108" s="91"/>
    </row>
    <row r="109" spans="1:4" x14ac:dyDescent="0.25">
      <c r="A109" s="23"/>
      <c r="B109" s="23"/>
      <c r="C109" s="23"/>
      <c r="D109" s="91"/>
    </row>
    <row r="110" spans="1:4" x14ac:dyDescent="0.25">
      <c r="A110" s="23"/>
      <c r="B110" s="23"/>
      <c r="C110" s="23"/>
      <c r="D110" s="91"/>
    </row>
    <row r="111" spans="1:4" x14ac:dyDescent="0.25">
      <c r="A111" s="23"/>
      <c r="B111" s="23"/>
      <c r="C111" s="23"/>
      <c r="D111" s="91"/>
    </row>
    <row r="112" spans="1:4" x14ac:dyDescent="0.25">
      <c r="A112" s="23"/>
      <c r="B112" s="23"/>
      <c r="C112" s="23"/>
      <c r="D112" s="91"/>
    </row>
    <row r="113" spans="1:4" x14ac:dyDescent="0.25">
      <c r="A113" s="23"/>
      <c r="B113" s="23"/>
      <c r="C113" s="23"/>
      <c r="D113" s="91"/>
    </row>
    <row r="114" spans="1:4" x14ac:dyDescent="0.25">
      <c r="A114" s="23"/>
      <c r="B114" s="23"/>
      <c r="C114" s="23"/>
      <c r="D114" s="91"/>
    </row>
    <row r="115" spans="1:4" x14ac:dyDescent="0.25">
      <c r="A115" s="23"/>
      <c r="B115" s="23"/>
      <c r="C115" s="23"/>
      <c r="D115" s="91"/>
    </row>
    <row r="116" spans="1:4" x14ac:dyDescent="0.25">
      <c r="A116" s="23"/>
      <c r="B116" s="23"/>
      <c r="C116" s="23"/>
      <c r="D116" s="91"/>
    </row>
    <row r="117" spans="1:4" x14ac:dyDescent="0.25">
      <c r="A117" s="23"/>
      <c r="B117" s="23"/>
      <c r="C117" s="23"/>
      <c r="D117" s="91"/>
    </row>
    <row r="118" spans="1:4" x14ac:dyDescent="0.25">
      <c r="A118" s="23"/>
      <c r="B118" s="23"/>
      <c r="C118" s="23"/>
      <c r="D118" s="91"/>
    </row>
    <row r="119" spans="1:4" x14ac:dyDescent="0.25">
      <c r="A119" s="23"/>
      <c r="B119" s="23"/>
      <c r="C119" s="23"/>
      <c r="D119" s="91"/>
    </row>
    <row r="120" spans="1:4" x14ac:dyDescent="0.25">
      <c r="A120" s="23"/>
      <c r="B120" s="23"/>
      <c r="C120" s="23"/>
      <c r="D120" s="91"/>
    </row>
    <row r="121" spans="1:4" x14ac:dyDescent="0.25">
      <c r="A121" s="23"/>
      <c r="B121" s="23"/>
      <c r="C121" s="23"/>
      <c r="D121" s="91"/>
    </row>
    <row r="122" spans="1:4" x14ac:dyDescent="0.25">
      <c r="A122" s="23"/>
      <c r="B122" s="23"/>
      <c r="C122" s="23"/>
      <c r="D122" s="91"/>
    </row>
    <row r="123" spans="1:4" x14ac:dyDescent="0.25">
      <c r="A123" s="23"/>
      <c r="B123" s="23"/>
      <c r="C123" s="23"/>
      <c r="D123" s="91"/>
    </row>
    <row r="124" spans="1:4" x14ac:dyDescent="0.25">
      <c r="A124" s="23"/>
      <c r="B124" s="23"/>
      <c r="C124" s="23"/>
      <c r="D124" s="91"/>
    </row>
    <row r="125" spans="1:4" x14ac:dyDescent="0.25">
      <c r="A125" s="23"/>
      <c r="B125" s="23"/>
      <c r="C125" s="23"/>
      <c r="D125" s="91"/>
    </row>
    <row r="126" spans="1:4" x14ac:dyDescent="0.25">
      <c r="A126" s="23"/>
      <c r="B126" s="23"/>
      <c r="C126" s="23"/>
      <c r="D126" s="91"/>
    </row>
    <row r="127" spans="1:4" x14ac:dyDescent="0.25">
      <c r="A127" s="23"/>
      <c r="B127" s="23"/>
      <c r="C127" s="23"/>
      <c r="D127" s="91"/>
    </row>
    <row r="128" spans="1:4" x14ac:dyDescent="0.25">
      <c r="A128" s="23"/>
      <c r="B128" s="23"/>
      <c r="C128" s="23"/>
      <c r="D128" s="91"/>
    </row>
    <row r="129" spans="1:4" x14ac:dyDescent="0.25">
      <c r="A129" s="23"/>
      <c r="B129" s="23"/>
      <c r="C129" s="23"/>
      <c r="D129" s="91"/>
    </row>
    <row r="130" spans="1:4" x14ac:dyDescent="0.25">
      <c r="A130" s="23"/>
      <c r="B130" s="23"/>
      <c r="C130" s="23"/>
      <c r="D130" s="91"/>
    </row>
    <row r="131" spans="1:4" x14ac:dyDescent="0.25">
      <c r="A131" s="23"/>
      <c r="B131" s="23"/>
      <c r="C131" s="23"/>
      <c r="D131" s="91"/>
    </row>
    <row r="132" spans="1:4" x14ac:dyDescent="0.25">
      <c r="A132" s="23"/>
      <c r="B132" s="23"/>
      <c r="C132" s="23"/>
      <c r="D132" s="91"/>
    </row>
    <row r="133" spans="1:4" x14ac:dyDescent="0.25">
      <c r="A133" s="23"/>
      <c r="B133" s="23"/>
      <c r="C133" s="23"/>
      <c r="D133" s="91"/>
    </row>
    <row r="134" spans="1:4" x14ac:dyDescent="0.25">
      <c r="A134" s="23"/>
      <c r="B134" s="23"/>
      <c r="C134" s="23"/>
      <c r="D134" s="91"/>
    </row>
    <row r="135" spans="1:4" x14ac:dyDescent="0.25">
      <c r="A135" s="23"/>
      <c r="B135" s="23"/>
      <c r="C135" s="23"/>
      <c r="D135" s="91"/>
    </row>
    <row r="136" spans="1:4" x14ac:dyDescent="0.25">
      <c r="A136" s="23"/>
      <c r="B136" s="23"/>
      <c r="C136" s="23"/>
      <c r="D136" s="91"/>
    </row>
    <row r="137" spans="1:4" x14ac:dyDescent="0.25">
      <c r="A137" s="23"/>
      <c r="B137" s="23"/>
      <c r="C137" s="23"/>
      <c r="D137" s="91"/>
    </row>
    <row r="138" spans="1:4" x14ac:dyDescent="0.25">
      <c r="A138" s="23"/>
      <c r="B138" s="23"/>
      <c r="C138" s="23"/>
      <c r="D138" s="91"/>
    </row>
    <row r="139" spans="1:4" x14ac:dyDescent="0.25">
      <c r="A139" s="23"/>
      <c r="B139" s="23"/>
      <c r="C139" s="23"/>
      <c r="D139" s="91"/>
    </row>
    <row r="140" spans="1:4" x14ac:dyDescent="0.25">
      <c r="A140" s="23"/>
      <c r="B140" s="23"/>
      <c r="C140" s="23"/>
      <c r="D140" s="91"/>
    </row>
    <row r="141" spans="1:4" x14ac:dyDescent="0.25">
      <c r="A141" s="23"/>
      <c r="B141" s="23"/>
      <c r="C141" s="23"/>
      <c r="D141" s="91"/>
    </row>
    <row r="142" spans="1:4" x14ac:dyDescent="0.25">
      <c r="A142" s="23"/>
      <c r="B142" s="23"/>
      <c r="C142" s="23"/>
      <c r="D142" s="91"/>
    </row>
    <row r="143" spans="1:4" x14ac:dyDescent="0.25">
      <c r="A143" s="23"/>
      <c r="B143" s="23"/>
      <c r="C143" s="23"/>
      <c r="D143" s="91"/>
    </row>
    <row r="144" spans="1:4" x14ac:dyDescent="0.25">
      <c r="A144" s="23"/>
      <c r="B144" s="23"/>
      <c r="C144" s="23"/>
      <c r="D144" s="91"/>
    </row>
    <row r="145" spans="1:4" x14ac:dyDescent="0.25">
      <c r="A145" s="23"/>
      <c r="B145" s="23"/>
      <c r="C145" s="23"/>
      <c r="D145" s="91"/>
    </row>
    <row r="146" spans="1:4" x14ac:dyDescent="0.25">
      <c r="A146" s="23"/>
      <c r="B146" s="23"/>
      <c r="C146" s="23"/>
      <c r="D146" s="91"/>
    </row>
    <row r="147" spans="1:4" x14ac:dyDescent="0.25">
      <c r="A147" s="23"/>
      <c r="B147" s="23"/>
      <c r="C147" s="23"/>
      <c r="D147" s="91"/>
    </row>
    <row r="148" spans="1:4" x14ac:dyDescent="0.25">
      <c r="A148" s="23"/>
      <c r="B148" s="23"/>
      <c r="C148" s="23"/>
      <c r="D148" s="91"/>
    </row>
    <row r="149" spans="1:4" x14ac:dyDescent="0.25">
      <c r="A149" s="23"/>
      <c r="B149" s="23"/>
      <c r="C149" s="23"/>
      <c r="D149" s="91"/>
    </row>
    <row r="150" spans="1:4" x14ac:dyDescent="0.25">
      <c r="A150" s="23"/>
      <c r="B150" s="23"/>
      <c r="C150" s="23"/>
      <c r="D150" s="91"/>
    </row>
    <row r="151" spans="1:4" x14ac:dyDescent="0.25">
      <c r="A151" s="23"/>
      <c r="B151" s="23"/>
      <c r="C151" s="23"/>
      <c r="D151" s="91"/>
    </row>
    <row r="152" spans="1:4" x14ac:dyDescent="0.25">
      <c r="A152" s="23"/>
      <c r="B152" s="23"/>
      <c r="C152" s="23"/>
      <c r="D152" s="91"/>
    </row>
    <row r="153" spans="1:4" x14ac:dyDescent="0.25">
      <c r="A153" s="23"/>
      <c r="B153" s="23"/>
      <c r="C153" s="23"/>
      <c r="D153" s="91"/>
    </row>
    <row r="154" spans="1:4" x14ac:dyDescent="0.25">
      <c r="A154" s="23"/>
      <c r="B154" s="23"/>
      <c r="C154" s="23"/>
      <c r="D154" s="91"/>
    </row>
    <row r="155" spans="1:4" x14ac:dyDescent="0.25">
      <c r="A155" s="23"/>
      <c r="B155" s="23"/>
      <c r="C155" s="23"/>
      <c r="D155" s="91"/>
    </row>
    <row r="156" spans="1:4" x14ac:dyDescent="0.25">
      <c r="A156" s="23"/>
      <c r="B156" s="23"/>
      <c r="C156" s="23"/>
      <c r="D156" s="91"/>
    </row>
    <row r="157" spans="1:4" x14ac:dyDescent="0.25">
      <c r="A157" s="23"/>
      <c r="B157" s="23"/>
      <c r="C157" s="23"/>
      <c r="D157" s="91"/>
    </row>
    <row r="158" spans="1:4" x14ac:dyDescent="0.25">
      <c r="A158" s="23"/>
      <c r="B158" s="23"/>
      <c r="C158" s="23"/>
      <c r="D158" s="91"/>
    </row>
    <row r="159" spans="1:4" x14ac:dyDescent="0.25">
      <c r="A159" s="23"/>
      <c r="B159" s="23"/>
      <c r="C159" s="23"/>
      <c r="D159" s="91"/>
    </row>
    <row r="160" spans="1:4" x14ac:dyDescent="0.25">
      <c r="A160" s="23"/>
      <c r="B160" s="23"/>
      <c r="C160" s="23"/>
      <c r="D160" s="91"/>
    </row>
    <row r="161" spans="1:4" x14ac:dyDescent="0.25">
      <c r="A161" s="23"/>
      <c r="B161" s="23"/>
      <c r="C161" s="23"/>
      <c r="D161" s="91"/>
    </row>
    <row r="162" spans="1:4" x14ac:dyDescent="0.25">
      <c r="A162" s="23"/>
      <c r="B162" s="23"/>
      <c r="C162" s="23"/>
      <c r="D162" s="91"/>
    </row>
    <row r="163" spans="1:4" x14ac:dyDescent="0.25">
      <c r="A163" s="23"/>
      <c r="B163" s="23"/>
      <c r="C163" s="23"/>
      <c r="D163" s="91"/>
    </row>
    <row r="164" spans="1:4" x14ac:dyDescent="0.25">
      <c r="A164" s="23"/>
      <c r="B164" s="23"/>
      <c r="C164" s="23"/>
      <c r="D164" s="91"/>
    </row>
    <row r="165" spans="1:4" x14ac:dyDescent="0.25">
      <c r="A165" s="23"/>
      <c r="B165" s="23"/>
      <c r="C165" s="23"/>
      <c r="D165" s="91"/>
    </row>
    <row r="166" spans="1:4" x14ac:dyDescent="0.25">
      <c r="A166" s="23"/>
      <c r="B166" s="23"/>
      <c r="C166" s="23"/>
      <c r="D166" s="91"/>
    </row>
    <row r="167" spans="1:4" x14ac:dyDescent="0.25">
      <c r="A167" s="23"/>
      <c r="B167" s="23"/>
      <c r="C167" s="23"/>
      <c r="D167" s="91"/>
    </row>
    <row r="168" spans="1:4" x14ac:dyDescent="0.25">
      <c r="A168" s="23"/>
      <c r="B168" s="23"/>
      <c r="C168" s="23"/>
      <c r="D168" s="91"/>
    </row>
    <row r="169" spans="1:4" x14ac:dyDescent="0.25">
      <c r="A169" s="23"/>
      <c r="B169" s="23"/>
      <c r="C169" s="23"/>
      <c r="D169" s="91"/>
    </row>
    <row r="170" spans="1:4" x14ac:dyDescent="0.25">
      <c r="A170" s="23"/>
      <c r="B170" s="23"/>
      <c r="C170" s="23"/>
      <c r="D170" s="91"/>
    </row>
    <row r="171" spans="1:4" x14ac:dyDescent="0.25">
      <c r="A171" s="23"/>
      <c r="B171" s="23"/>
      <c r="C171" s="23"/>
      <c r="D171" s="91"/>
    </row>
    <row r="172" spans="1:4" x14ac:dyDescent="0.25">
      <c r="A172" s="23"/>
      <c r="B172" s="23"/>
      <c r="C172" s="23"/>
      <c r="D172" s="91"/>
    </row>
    <row r="173" spans="1:4" x14ac:dyDescent="0.25">
      <c r="A173" s="23"/>
      <c r="B173" s="23"/>
      <c r="C173" s="23"/>
      <c r="D173" s="91"/>
    </row>
    <row r="174" spans="1:4" x14ac:dyDescent="0.25">
      <c r="A174" s="23"/>
      <c r="B174" s="23"/>
      <c r="C174" s="23"/>
      <c r="D174" s="91"/>
    </row>
    <row r="175" spans="1:4" x14ac:dyDescent="0.25">
      <c r="A175" s="23"/>
      <c r="B175" s="23"/>
      <c r="C175" s="23"/>
      <c r="D175" s="91"/>
    </row>
    <row r="176" spans="1:4" x14ac:dyDescent="0.25">
      <c r="A176" s="23"/>
      <c r="B176" s="23"/>
      <c r="C176" s="23"/>
      <c r="D176" s="91"/>
    </row>
    <row r="177" spans="1:4" x14ac:dyDescent="0.25">
      <c r="A177" s="23"/>
      <c r="B177" s="23"/>
      <c r="C177" s="23"/>
      <c r="D177" s="91"/>
    </row>
    <row r="178" spans="1:4" x14ac:dyDescent="0.25">
      <c r="A178" s="23"/>
      <c r="B178" s="23"/>
      <c r="C178" s="23"/>
      <c r="D178" s="91"/>
    </row>
    <row r="179" spans="1:4" x14ac:dyDescent="0.25">
      <c r="A179" s="23"/>
      <c r="B179" s="23"/>
      <c r="C179" s="23"/>
      <c r="D179" s="91"/>
    </row>
    <row r="180" spans="1:4" x14ac:dyDescent="0.25">
      <c r="A180" s="23"/>
      <c r="B180" s="23"/>
      <c r="C180" s="23"/>
      <c r="D180" s="91"/>
    </row>
    <row r="181" spans="1:4" x14ac:dyDescent="0.25">
      <c r="A181" s="23"/>
      <c r="B181" s="23"/>
      <c r="C181" s="23"/>
      <c r="D181" s="91"/>
    </row>
    <row r="182" spans="1:4" x14ac:dyDescent="0.25">
      <c r="A182" s="23"/>
      <c r="B182" s="23"/>
      <c r="C182" s="23"/>
      <c r="D182" s="91"/>
    </row>
    <row r="183" spans="1:4" x14ac:dyDescent="0.25">
      <c r="A183" s="23"/>
      <c r="B183" s="23"/>
      <c r="C183" s="23"/>
      <c r="D183" s="91"/>
    </row>
    <row r="184" spans="1:4" x14ac:dyDescent="0.25">
      <c r="A184" s="23"/>
      <c r="B184" s="23"/>
      <c r="C184" s="23"/>
      <c r="D184" s="91"/>
    </row>
    <row r="185" spans="1:4" x14ac:dyDescent="0.25">
      <c r="A185" s="23"/>
      <c r="B185" s="23"/>
      <c r="C185" s="23"/>
      <c r="D185" s="91"/>
    </row>
    <row r="186" spans="1:4" x14ac:dyDescent="0.25">
      <c r="A186" s="23"/>
      <c r="B186" s="23"/>
      <c r="C186" s="23"/>
      <c r="D186" s="91"/>
    </row>
    <row r="187" spans="1:4" x14ac:dyDescent="0.25">
      <c r="A187" s="23"/>
      <c r="B187" s="23"/>
      <c r="C187" s="23"/>
      <c r="D187" s="91"/>
    </row>
    <row r="188" spans="1:4" x14ac:dyDescent="0.25">
      <c r="A188" s="23"/>
      <c r="B188" s="23"/>
      <c r="C188" s="23"/>
      <c r="D188" s="91"/>
    </row>
    <row r="189" spans="1:4" x14ac:dyDescent="0.25">
      <c r="A189" s="23"/>
      <c r="B189" s="23"/>
      <c r="C189" s="23"/>
      <c r="D189" s="91"/>
    </row>
    <row r="190" spans="1:4" x14ac:dyDescent="0.25">
      <c r="A190" s="23"/>
      <c r="B190" s="23"/>
      <c r="C190" s="23"/>
      <c r="D190" s="91"/>
    </row>
    <row r="191" spans="1:4" x14ac:dyDescent="0.25">
      <c r="A191" s="23"/>
      <c r="B191" s="23"/>
      <c r="C191" s="23"/>
      <c r="D191" s="91"/>
    </row>
    <row r="192" spans="1:4" x14ac:dyDescent="0.25">
      <c r="A192" s="23"/>
      <c r="B192" s="23"/>
      <c r="C192" s="23"/>
      <c r="D192" s="91"/>
    </row>
    <row r="193" spans="1:4" x14ac:dyDescent="0.25">
      <c r="A193" s="23"/>
      <c r="B193" s="23"/>
      <c r="C193" s="23"/>
      <c r="D193" s="91"/>
    </row>
    <row r="194" spans="1:4" x14ac:dyDescent="0.25">
      <c r="A194" s="23"/>
      <c r="B194" s="23"/>
      <c r="C194" s="23"/>
      <c r="D194" s="91"/>
    </row>
    <row r="195" spans="1:4" x14ac:dyDescent="0.25">
      <c r="A195" s="23"/>
      <c r="B195" s="23"/>
      <c r="C195" s="23"/>
      <c r="D195" s="91"/>
    </row>
    <row r="196" spans="1:4" x14ac:dyDescent="0.25">
      <c r="A196" s="23"/>
      <c r="B196" s="23"/>
      <c r="C196" s="23"/>
      <c r="D196" s="91"/>
    </row>
    <row r="197" spans="1:4" x14ac:dyDescent="0.25">
      <c r="A197" s="23"/>
      <c r="B197" s="23"/>
      <c r="C197" s="23"/>
      <c r="D197" s="91"/>
    </row>
    <row r="198" spans="1:4" x14ac:dyDescent="0.25">
      <c r="A198" s="23"/>
      <c r="B198" s="23"/>
      <c r="C198" s="23"/>
      <c r="D198" s="91"/>
    </row>
    <row r="199" spans="1:4" x14ac:dyDescent="0.25">
      <c r="A199" s="23"/>
      <c r="B199" s="23"/>
      <c r="C199" s="23"/>
      <c r="D199" s="91"/>
    </row>
    <row r="200" spans="1:4" x14ac:dyDescent="0.25">
      <c r="A200" s="23"/>
      <c r="B200" s="23"/>
      <c r="C200" s="23"/>
      <c r="D200" s="91"/>
    </row>
    <row r="201" spans="1:4" x14ac:dyDescent="0.25">
      <c r="A201" s="23"/>
      <c r="B201" s="23"/>
      <c r="C201" s="23"/>
      <c r="D201" s="91"/>
    </row>
    <row r="202" spans="1:4" x14ac:dyDescent="0.25">
      <c r="A202" s="23"/>
      <c r="B202" s="23"/>
      <c r="C202" s="23"/>
      <c r="D202" s="91"/>
    </row>
    <row r="203" spans="1:4" x14ac:dyDescent="0.25">
      <c r="A203" s="23"/>
      <c r="B203" s="23"/>
      <c r="C203" s="23"/>
      <c r="D203" s="91"/>
    </row>
    <row r="204" spans="1:4" x14ac:dyDescent="0.25">
      <c r="A204" s="23"/>
      <c r="B204" s="23"/>
      <c r="C204" s="23"/>
      <c r="D204" s="91"/>
    </row>
    <row r="205" spans="1:4" x14ac:dyDescent="0.25">
      <c r="A205" s="23"/>
      <c r="B205" s="23"/>
      <c r="C205" s="23"/>
      <c r="D205" s="91"/>
    </row>
    <row r="206" spans="1:4" x14ac:dyDescent="0.25">
      <c r="A206" s="23"/>
      <c r="B206" s="23"/>
      <c r="C206" s="23"/>
      <c r="D206" s="91"/>
    </row>
    <row r="207" spans="1:4" x14ac:dyDescent="0.25">
      <c r="A207" s="23"/>
      <c r="B207" s="23"/>
      <c r="C207" s="23"/>
      <c r="D207" s="91"/>
    </row>
    <row r="208" spans="1:4" x14ac:dyDescent="0.25">
      <c r="A208" s="23"/>
      <c r="B208" s="23"/>
      <c r="C208" s="23"/>
      <c r="D208" s="91"/>
    </row>
    <row r="209" spans="1:4" x14ac:dyDescent="0.25">
      <c r="A209" s="23"/>
      <c r="B209" s="23"/>
      <c r="C209" s="23"/>
      <c r="D209" s="91"/>
    </row>
    <row r="210" spans="1:4" x14ac:dyDescent="0.25">
      <c r="A210" s="23"/>
      <c r="B210" s="23"/>
      <c r="C210" s="23"/>
      <c r="D210" s="91"/>
    </row>
    <row r="211" spans="1:4" x14ac:dyDescent="0.25">
      <c r="A211" s="23"/>
      <c r="B211" s="23"/>
      <c r="C211" s="23"/>
      <c r="D211" s="91"/>
    </row>
    <row r="212" spans="1:4" x14ac:dyDescent="0.25">
      <c r="A212" s="23"/>
      <c r="B212" s="23"/>
      <c r="C212" s="23"/>
      <c r="D212" s="91"/>
    </row>
    <row r="213" spans="1:4" x14ac:dyDescent="0.25">
      <c r="A213" s="23"/>
      <c r="B213" s="23"/>
      <c r="C213" s="23"/>
      <c r="D213" s="91"/>
    </row>
    <row r="214" spans="1:4" x14ac:dyDescent="0.25">
      <c r="A214" s="23"/>
      <c r="B214" s="23"/>
      <c r="C214" s="23"/>
      <c r="D214" s="91"/>
    </row>
    <row r="215" spans="1:4" x14ac:dyDescent="0.25">
      <c r="A215" s="23"/>
      <c r="B215" s="23"/>
      <c r="C215" s="23"/>
      <c r="D215" s="91"/>
    </row>
    <row r="216" spans="1:4" x14ac:dyDescent="0.25">
      <c r="A216" s="23"/>
      <c r="B216" s="23"/>
      <c r="C216" s="23"/>
      <c r="D216" s="91"/>
    </row>
    <row r="217" spans="1:4" x14ac:dyDescent="0.25">
      <c r="A217" s="23"/>
      <c r="B217" s="23"/>
      <c r="C217" s="23"/>
      <c r="D217" s="91"/>
    </row>
    <row r="218" spans="1:4" x14ac:dyDescent="0.25">
      <c r="A218" s="23"/>
      <c r="B218" s="23"/>
      <c r="C218" s="23"/>
      <c r="D218" s="91"/>
    </row>
    <row r="219" spans="1:4" x14ac:dyDescent="0.25">
      <c r="A219" s="23"/>
      <c r="B219" s="23"/>
      <c r="C219" s="23"/>
      <c r="D219" s="91"/>
    </row>
    <row r="220" spans="1:4" x14ac:dyDescent="0.25">
      <c r="A220" s="23"/>
      <c r="B220" s="23"/>
      <c r="C220" s="23"/>
      <c r="D220" s="91"/>
    </row>
    <row r="221" spans="1:4" x14ac:dyDescent="0.25">
      <c r="A221" s="23"/>
      <c r="B221" s="23"/>
      <c r="C221" s="23"/>
      <c r="D221" s="91"/>
    </row>
    <row r="222" spans="1:4" x14ac:dyDescent="0.25">
      <c r="A222" s="23"/>
      <c r="B222" s="23"/>
      <c r="C222" s="23"/>
      <c r="D222" s="91"/>
    </row>
    <row r="223" spans="1:4" x14ac:dyDescent="0.25">
      <c r="A223" s="23"/>
      <c r="B223" s="23"/>
      <c r="C223" s="23"/>
      <c r="D223" s="91"/>
    </row>
    <row r="224" spans="1:4" x14ac:dyDescent="0.25">
      <c r="A224" s="23"/>
      <c r="B224" s="23"/>
      <c r="C224" s="23"/>
      <c r="D224" s="91"/>
    </row>
    <row r="225" spans="1:4" x14ac:dyDescent="0.25">
      <c r="A225" s="23"/>
      <c r="B225" s="23"/>
      <c r="C225" s="23"/>
      <c r="D225" s="91"/>
    </row>
    <row r="226" spans="1:4" x14ac:dyDescent="0.25">
      <c r="A226" s="23"/>
      <c r="B226" s="23"/>
      <c r="C226" s="23"/>
      <c r="D226" s="91"/>
    </row>
    <row r="227" spans="1:4" x14ac:dyDescent="0.25">
      <c r="A227" s="23"/>
      <c r="B227" s="23"/>
      <c r="C227" s="23"/>
      <c r="D227" s="91"/>
    </row>
    <row r="228" spans="1:4" x14ac:dyDescent="0.25">
      <c r="A228" s="23"/>
      <c r="B228" s="23"/>
      <c r="C228" s="23"/>
      <c r="D228" s="91"/>
    </row>
    <row r="229" spans="1:4" x14ac:dyDescent="0.25">
      <c r="A229" s="23"/>
      <c r="B229" s="23"/>
      <c r="C229" s="23"/>
      <c r="D229" s="91"/>
    </row>
    <row r="230" spans="1:4" x14ac:dyDescent="0.25">
      <c r="A230" s="23"/>
      <c r="B230" s="23"/>
      <c r="C230" s="23"/>
      <c r="D230" s="91"/>
    </row>
    <row r="231" spans="1:4" x14ac:dyDescent="0.25">
      <c r="A231" s="23"/>
      <c r="B231" s="23"/>
      <c r="C231" s="23"/>
      <c r="D231" s="91"/>
    </row>
    <row r="232" spans="1:4" x14ac:dyDescent="0.25">
      <c r="A232" s="23"/>
      <c r="B232" s="23"/>
      <c r="C232" s="23"/>
      <c r="D232" s="91"/>
    </row>
    <row r="233" spans="1:4" x14ac:dyDescent="0.25">
      <c r="A233" s="23"/>
      <c r="B233" s="23"/>
      <c r="C233" s="23"/>
      <c r="D233" s="91"/>
    </row>
    <row r="234" spans="1:4" x14ac:dyDescent="0.25">
      <c r="A234" s="71"/>
      <c r="B234" s="71"/>
      <c r="C234" s="71"/>
      <c r="D234" s="72"/>
    </row>
    <row r="235" spans="1:4" x14ac:dyDescent="0.25">
      <c r="A235" s="71"/>
      <c r="B235" s="71"/>
      <c r="C235" s="71"/>
      <c r="D235" s="72"/>
    </row>
    <row r="236" spans="1:4" x14ac:dyDescent="0.25">
      <c r="A236" s="71"/>
      <c r="B236" s="71"/>
      <c r="C236" s="71"/>
      <c r="D236" s="72"/>
    </row>
    <row r="237" spans="1:4" x14ac:dyDescent="0.25">
      <c r="A237" s="71"/>
      <c r="B237" s="71"/>
      <c r="C237" s="71"/>
      <c r="D237" s="72"/>
    </row>
    <row r="238" spans="1:4" x14ac:dyDescent="0.25">
      <c r="A238" s="71"/>
      <c r="B238" s="71"/>
      <c r="C238" s="71"/>
      <c r="D238" s="72"/>
    </row>
    <row r="239" spans="1:4" x14ac:dyDescent="0.25">
      <c r="A239" s="71"/>
      <c r="B239" s="71"/>
      <c r="C239" s="71"/>
      <c r="D239" s="72"/>
    </row>
    <row r="240" spans="1:4" x14ac:dyDescent="0.25">
      <c r="A240" s="71"/>
      <c r="B240" s="71"/>
      <c r="C240" s="71"/>
      <c r="D240" s="72"/>
    </row>
    <row r="241" spans="1:4" x14ac:dyDescent="0.25">
      <c r="A241" s="71"/>
      <c r="B241" s="71"/>
      <c r="C241" s="71"/>
      <c r="D241" s="72"/>
    </row>
  </sheetData>
  <sheetProtection algorithmName="SHA-512" hashValue="K2YGHMVwJDpnmmVCb9H+zo2h9Qqts2qZhanqsWrY16MMEtaPcvhQaTV7BLU4HonotlHY8ytUsU81U7KxlHLvfw==" saltValue="u3V4PEE0aEN6FXq+GM6tQQ==" spinCount="100000" sheet="1" objects="1" scenarios="1"/>
  <mergeCells count="1">
    <mergeCell ref="G27:H27"/>
  </mergeCells>
  <phoneticPr fontId="29"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8"/>
  <sheetViews>
    <sheetView workbookViewId="0">
      <selection activeCell="H3" sqref="H3"/>
    </sheetView>
  </sheetViews>
  <sheetFormatPr defaultRowHeight="15" x14ac:dyDescent="0.25"/>
  <cols>
    <col min="1" max="1" width="18.28515625" style="23" bestFit="1" customWidth="1"/>
    <col min="2" max="2" width="17" style="23" bestFit="1" customWidth="1"/>
    <col min="3" max="3" width="36.5703125" style="23" bestFit="1" customWidth="1"/>
    <col min="4" max="4" width="8.85546875" style="23" customWidth="1"/>
    <col min="5" max="5" width="26.140625" style="23" customWidth="1"/>
    <col min="6" max="7" width="8.85546875" style="23" customWidth="1"/>
    <col min="8" max="8" width="23.140625" style="23" bestFit="1" customWidth="1"/>
    <col min="9" max="12" width="8.85546875" style="23" customWidth="1"/>
    <col min="13" max="13" width="10.140625" style="23" customWidth="1"/>
    <col min="14" max="14" width="14.85546875" style="116" customWidth="1"/>
    <col min="15" max="15" width="8.85546875" style="23" customWidth="1"/>
    <col min="16" max="16" width="21" style="23" customWidth="1"/>
    <col min="17" max="17" width="8.85546875" style="23" customWidth="1"/>
    <col min="18" max="19" width="10.140625" style="23" customWidth="1"/>
    <col min="20" max="20" width="10.42578125" style="23" customWidth="1"/>
    <col min="21" max="21" width="8.85546875" style="23" customWidth="1"/>
    <col min="22" max="22" width="9.85546875" style="23" customWidth="1"/>
  </cols>
  <sheetData>
    <row r="1" spans="1:14" x14ac:dyDescent="0.25">
      <c r="A1" s="113" t="s">
        <v>347</v>
      </c>
      <c r="B1" s="23" t="s">
        <v>366</v>
      </c>
      <c r="C1" s="113" t="s">
        <v>365</v>
      </c>
      <c r="E1" s="96" t="s">
        <v>322</v>
      </c>
      <c r="H1" s="96" t="s">
        <v>336</v>
      </c>
      <c r="N1" s="114" t="s">
        <v>337</v>
      </c>
    </row>
    <row r="2" spans="1:14" x14ac:dyDescent="0.25">
      <c r="A2" s="23" t="s">
        <v>348</v>
      </c>
      <c r="C2" s="23" t="s">
        <v>358</v>
      </c>
      <c r="E2" s="95" t="s">
        <v>325</v>
      </c>
      <c r="G2" s="23">
        <v>1</v>
      </c>
      <c r="H2" s="23" t="s">
        <v>558</v>
      </c>
      <c r="I2" s="122">
        <v>1</v>
      </c>
      <c r="N2" s="115">
        <v>0.1</v>
      </c>
    </row>
    <row r="3" spans="1:14" x14ac:dyDescent="0.25">
      <c r="A3" s="23" t="s">
        <v>349</v>
      </c>
      <c r="C3" s="23" t="s">
        <v>359</v>
      </c>
      <c r="E3" s="95" t="s">
        <v>324</v>
      </c>
      <c r="G3" s="23">
        <v>2</v>
      </c>
      <c r="H3" s="23" t="s">
        <v>516</v>
      </c>
      <c r="I3" s="122">
        <v>1.25</v>
      </c>
      <c r="N3" s="115">
        <v>0.2</v>
      </c>
    </row>
    <row r="4" spans="1:14" x14ac:dyDescent="0.25">
      <c r="A4" s="23" t="s">
        <v>350</v>
      </c>
      <c r="C4" s="23" t="s">
        <v>360</v>
      </c>
      <c r="E4" s="95" t="s">
        <v>326</v>
      </c>
      <c r="G4" s="23">
        <v>3</v>
      </c>
      <c r="H4" s="23" t="s">
        <v>517</v>
      </c>
      <c r="I4" s="122">
        <v>1.5</v>
      </c>
      <c r="N4" s="115">
        <v>0.3</v>
      </c>
    </row>
    <row r="5" spans="1:14" x14ac:dyDescent="0.25">
      <c r="A5" s="23" t="s">
        <v>351</v>
      </c>
      <c r="C5" s="23" t="s">
        <v>361</v>
      </c>
      <c r="E5" s="95" t="s">
        <v>327</v>
      </c>
      <c r="G5" s="23">
        <v>4</v>
      </c>
      <c r="H5" s="23" t="s">
        <v>518</v>
      </c>
      <c r="I5" s="122">
        <v>1.75</v>
      </c>
      <c r="N5" s="115">
        <v>0.4</v>
      </c>
    </row>
    <row r="6" spans="1:14" x14ac:dyDescent="0.25">
      <c r="A6" s="23" t="s">
        <v>352</v>
      </c>
      <c r="C6" s="23" t="s">
        <v>362</v>
      </c>
      <c r="E6" s="95" t="s">
        <v>331</v>
      </c>
      <c r="G6" s="23">
        <v>5</v>
      </c>
      <c r="H6" s="23" t="s">
        <v>519</v>
      </c>
      <c r="I6" s="122">
        <v>2</v>
      </c>
      <c r="N6" s="115">
        <v>0.5</v>
      </c>
    </row>
    <row r="7" spans="1:14" x14ac:dyDescent="0.25">
      <c r="A7" s="23" t="s">
        <v>353</v>
      </c>
      <c r="C7" s="23" t="s">
        <v>363</v>
      </c>
      <c r="E7" s="95" t="s">
        <v>461</v>
      </c>
      <c r="G7" s="23">
        <v>6</v>
      </c>
      <c r="I7" s="122"/>
      <c r="N7" s="115">
        <v>0.6</v>
      </c>
    </row>
    <row r="8" spans="1:14" x14ac:dyDescent="0.25">
      <c r="A8" s="23" t="s">
        <v>332</v>
      </c>
      <c r="C8" s="23" t="s">
        <v>364</v>
      </c>
      <c r="E8" s="95" t="s">
        <v>328</v>
      </c>
      <c r="G8" s="23">
        <v>7</v>
      </c>
      <c r="I8" s="122"/>
      <c r="N8" s="115">
        <v>0.7</v>
      </c>
    </row>
    <row r="9" spans="1:14" x14ac:dyDescent="0.25">
      <c r="C9" s="23" t="s">
        <v>332</v>
      </c>
      <c r="E9" s="95" t="s">
        <v>330</v>
      </c>
      <c r="G9" s="23">
        <v>8</v>
      </c>
      <c r="I9" s="122"/>
      <c r="N9" s="115">
        <v>0.8</v>
      </c>
    </row>
    <row r="10" spans="1:14" x14ac:dyDescent="0.25">
      <c r="E10" s="95" t="s">
        <v>329</v>
      </c>
      <c r="N10" s="115">
        <v>0.9</v>
      </c>
    </row>
    <row r="11" spans="1:14" x14ac:dyDescent="0.25">
      <c r="E11" s="23" t="s">
        <v>332</v>
      </c>
      <c r="N11" s="115">
        <v>1</v>
      </c>
    </row>
    <row r="12" spans="1:14" x14ac:dyDescent="0.25">
      <c r="A12" s="113" t="s">
        <v>4</v>
      </c>
      <c r="E12" s="23" t="s">
        <v>462</v>
      </c>
      <c r="H12" s="96" t="s">
        <v>380</v>
      </c>
    </row>
    <row r="13" spans="1:14" x14ac:dyDescent="0.25">
      <c r="A13" s="23" t="s">
        <v>465</v>
      </c>
      <c r="H13" s="23" t="s">
        <v>381</v>
      </c>
      <c r="I13" s="23">
        <v>0</v>
      </c>
    </row>
    <row r="14" spans="1:14" x14ac:dyDescent="0.25">
      <c r="A14" s="23" t="s">
        <v>455</v>
      </c>
      <c r="H14" s="23" t="s">
        <v>382</v>
      </c>
      <c r="I14" s="122">
        <f>(10/6)/3</f>
        <v>0.55555555555555558</v>
      </c>
    </row>
    <row r="15" spans="1:14" x14ac:dyDescent="0.25">
      <c r="A15" s="23" t="s">
        <v>515</v>
      </c>
      <c r="H15" s="23" t="s">
        <v>383</v>
      </c>
      <c r="I15" s="122">
        <f>(10/6)/2</f>
        <v>0.83333333333333337</v>
      </c>
    </row>
    <row r="16" spans="1:14" x14ac:dyDescent="0.25">
      <c r="H16" s="23" t="s">
        <v>384</v>
      </c>
      <c r="I16" s="122">
        <f>10/6</f>
        <v>1.6666666666666667</v>
      </c>
    </row>
    <row r="17" spans="1:22" x14ac:dyDescent="0.25">
      <c r="I17" s="122"/>
    </row>
    <row r="19" spans="1:22" ht="15.75" thickBot="1" x14ac:dyDescent="0.3"/>
    <row r="20" spans="1:22" x14ac:dyDescent="0.25">
      <c r="A20" s="620" t="s">
        <v>26</v>
      </c>
      <c r="B20" s="621"/>
      <c r="C20" s="622"/>
      <c r="D20" s="68"/>
      <c r="E20" s="569" t="s">
        <v>143</v>
      </c>
      <c r="F20" s="570"/>
      <c r="G20" s="571"/>
      <c r="H20" s="569" t="s">
        <v>144</v>
      </c>
      <c r="I20" s="570"/>
      <c r="J20" s="570"/>
      <c r="K20" s="570"/>
      <c r="L20" s="570"/>
      <c r="M20" s="571"/>
      <c r="N20" s="634" t="s">
        <v>145</v>
      </c>
      <c r="O20" s="635"/>
      <c r="P20" s="640" t="s">
        <v>146</v>
      </c>
      <c r="Q20" s="571"/>
      <c r="R20" s="569" t="s">
        <v>147</v>
      </c>
      <c r="S20" s="570"/>
      <c r="T20" s="570"/>
      <c r="U20" s="570"/>
      <c r="V20" s="571"/>
    </row>
    <row r="21" spans="1:22" x14ac:dyDescent="0.25">
      <c r="A21" s="623"/>
      <c r="B21" s="624"/>
      <c r="C21" s="625"/>
      <c r="D21" s="69"/>
      <c r="E21" s="572"/>
      <c r="F21" s="573"/>
      <c r="G21" s="574"/>
      <c r="H21" s="578" t="s">
        <v>148</v>
      </c>
      <c r="I21" s="579"/>
      <c r="J21" s="579"/>
      <c r="K21" s="579"/>
      <c r="L21" s="579"/>
      <c r="M21" s="580"/>
      <c r="N21" s="636"/>
      <c r="O21" s="637"/>
      <c r="P21" s="641"/>
      <c r="Q21" s="574"/>
      <c r="R21" s="572"/>
      <c r="S21" s="573"/>
      <c r="T21" s="573"/>
      <c r="U21" s="573"/>
      <c r="V21" s="574"/>
    </row>
    <row r="22" spans="1:22" x14ac:dyDescent="0.25">
      <c r="A22" s="623"/>
      <c r="B22" s="624"/>
      <c r="C22" s="625"/>
      <c r="D22" s="69"/>
      <c r="E22" s="572"/>
      <c r="F22" s="573"/>
      <c r="G22" s="574"/>
      <c r="H22" s="578"/>
      <c r="I22" s="579"/>
      <c r="J22" s="579"/>
      <c r="K22" s="579"/>
      <c r="L22" s="579"/>
      <c r="M22" s="580"/>
      <c r="N22" s="636"/>
      <c r="O22" s="637"/>
      <c r="P22" s="641"/>
      <c r="Q22" s="574"/>
      <c r="R22" s="572"/>
      <c r="S22" s="573"/>
      <c r="T22" s="573"/>
      <c r="U22" s="573"/>
      <c r="V22" s="574"/>
    </row>
    <row r="23" spans="1:22" ht="15.75" thickBot="1" x14ac:dyDescent="0.3">
      <c r="A23" s="626"/>
      <c r="B23" s="627"/>
      <c r="C23" s="628"/>
      <c r="D23" s="70"/>
      <c r="E23" s="629"/>
      <c r="F23" s="630"/>
      <c r="G23" s="631"/>
      <c r="H23" s="1"/>
      <c r="I23" s="2">
        <v>0.36</v>
      </c>
      <c r="J23" s="2">
        <v>0.12</v>
      </c>
      <c r="K23" s="2">
        <v>0.16</v>
      </c>
      <c r="L23" s="2">
        <f>J23</f>
        <v>0.12</v>
      </c>
      <c r="M23" s="3"/>
      <c r="N23" s="638"/>
      <c r="O23" s="639"/>
      <c r="P23" s="642"/>
      <c r="Q23" s="631"/>
      <c r="R23" s="575"/>
      <c r="S23" s="576"/>
      <c r="T23" s="576"/>
      <c r="U23" s="576"/>
      <c r="V23" s="577"/>
    </row>
    <row r="24" spans="1:22" x14ac:dyDescent="0.25">
      <c r="A24" s="581" t="s">
        <v>149</v>
      </c>
      <c r="B24" s="584" t="s">
        <v>150</v>
      </c>
      <c r="C24" s="587" t="s">
        <v>151</v>
      </c>
      <c r="D24" s="590" t="s">
        <v>152</v>
      </c>
      <c r="E24" s="593" t="s">
        <v>26</v>
      </c>
      <c r="F24" s="643" t="s">
        <v>153</v>
      </c>
      <c r="G24" s="646" t="s">
        <v>154</v>
      </c>
      <c r="H24" s="649" t="s">
        <v>155</v>
      </c>
      <c r="I24" s="632" t="s">
        <v>156</v>
      </c>
      <c r="J24" s="632" t="s">
        <v>157</v>
      </c>
      <c r="K24" s="632" t="s">
        <v>158</v>
      </c>
      <c r="L24" s="632" t="s">
        <v>159</v>
      </c>
      <c r="M24" s="605" t="s">
        <v>160</v>
      </c>
      <c r="N24" s="608" t="s">
        <v>161</v>
      </c>
      <c r="O24" s="611" t="s">
        <v>162</v>
      </c>
      <c r="P24" s="614" t="s">
        <v>163</v>
      </c>
      <c r="Q24" s="617" t="s">
        <v>164</v>
      </c>
      <c r="R24" s="566" t="s">
        <v>165</v>
      </c>
      <c r="S24" s="596" t="s">
        <v>166</v>
      </c>
      <c r="T24" s="596" t="s">
        <v>167</v>
      </c>
      <c r="U24" s="599" t="s">
        <v>168</v>
      </c>
      <c r="V24" s="602" t="s">
        <v>169</v>
      </c>
    </row>
    <row r="25" spans="1:22" x14ac:dyDescent="0.25">
      <c r="A25" s="582"/>
      <c r="B25" s="585"/>
      <c r="C25" s="588"/>
      <c r="D25" s="591"/>
      <c r="E25" s="594"/>
      <c r="F25" s="644"/>
      <c r="G25" s="647"/>
      <c r="H25" s="650"/>
      <c r="I25" s="597"/>
      <c r="J25" s="597"/>
      <c r="K25" s="597"/>
      <c r="L25" s="597"/>
      <c r="M25" s="606"/>
      <c r="N25" s="609"/>
      <c r="O25" s="612"/>
      <c r="P25" s="615"/>
      <c r="Q25" s="618"/>
      <c r="R25" s="567"/>
      <c r="S25" s="597"/>
      <c r="T25" s="597"/>
      <c r="U25" s="600"/>
      <c r="V25" s="603"/>
    </row>
    <row r="26" spans="1:22" ht="15.75" thickBot="1" x14ac:dyDescent="0.3">
      <c r="A26" s="583"/>
      <c r="B26" s="586"/>
      <c r="C26" s="589"/>
      <c r="D26" s="592"/>
      <c r="E26" s="595"/>
      <c r="F26" s="645"/>
      <c r="G26" s="648"/>
      <c r="H26" s="651"/>
      <c r="I26" s="633"/>
      <c r="J26" s="633"/>
      <c r="K26" s="633"/>
      <c r="L26" s="633"/>
      <c r="M26" s="607"/>
      <c r="N26" s="610"/>
      <c r="O26" s="613"/>
      <c r="P26" s="616"/>
      <c r="Q26" s="619"/>
      <c r="R26" s="568"/>
      <c r="S26" s="598"/>
      <c r="T26" s="598"/>
      <c r="U26" s="601"/>
      <c r="V26" s="604"/>
    </row>
    <row r="27" spans="1:22" x14ac:dyDescent="0.25">
      <c r="A27" s="50">
        <f>IF('Common Application'!$I$65=E27,'Common Application'!$J$65,0)</f>
        <v>0</v>
      </c>
      <c r="B27" s="27">
        <f>IF('Common Application'!$I$66=E27,'Common Application'!$J$66,0)</f>
        <v>0</v>
      </c>
      <c r="C27" s="15">
        <f>IF('Common Application'!$I$67=E27,'Common Application'!$J$67,0)</f>
        <v>0</v>
      </c>
      <c r="D27" s="4">
        <f t="shared" ref="D27:D66" si="0">SUM(A27:C27)</f>
        <v>0</v>
      </c>
      <c r="E27" s="5" t="s">
        <v>170</v>
      </c>
      <c r="F27" s="6">
        <v>77</v>
      </c>
      <c r="G27" s="7">
        <v>1</v>
      </c>
      <c r="H27" s="8" t="s">
        <v>171</v>
      </c>
      <c r="I27" s="9">
        <v>0.7</v>
      </c>
      <c r="J27" s="9">
        <v>0.23</v>
      </c>
      <c r="K27" s="9">
        <v>0.01</v>
      </c>
      <c r="L27" s="9">
        <v>0.06</v>
      </c>
      <c r="M27" s="10">
        <f t="shared" ref="M27:M57" si="1">(F27*I27*$E$69)+(F27*J27*$F$69)+(F27*K27*$G$69)+(F27*L27*$H$69)</f>
        <v>0</v>
      </c>
      <c r="N27" s="117" t="s">
        <v>172</v>
      </c>
      <c r="O27" s="12">
        <v>67</v>
      </c>
      <c r="P27" s="8" t="s">
        <v>171</v>
      </c>
      <c r="Q27" s="10">
        <v>14.6</v>
      </c>
      <c r="R27" s="13">
        <f t="shared" ref="R27:R66" si="2">M27*D27</f>
        <v>0</v>
      </c>
      <c r="S27" s="11">
        <f t="shared" ref="S27:S66" si="3">D27*F27</f>
        <v>0</v>
      </c>
      <c r="T27" s="11">
        <f t="shared" ref="T27:T66" si="4">D27*Q27</f>
        <v>0</v>
      </c>
      <c r="U27" s="11">
        <f t="shared" ref="U27:U66" si="5">O27*D27</f>
        <v>0</v>
      </c>
      <c r="V27" s="14">
        <f t="shared" ref="V27:V66" si="6">D27*G27</f>
        <v>0</v>
      </c>
    </row>
    <row r="28" spans="1:22" x14ac:dyDescent="0.25">
      <c r="A28" s="50">
        <f>IF('Common Application'!$I$65=E28,'Common Application'!$J$65,0)</f>
        <v>0</v>
      </c>
      <c r="B28" s="27">
        <f>IF('Common Application'!$I$66=E28,'Common Application'!$J$66,0)</f>
        <v>0</v>
      </c>
      <c r="C28" s="15">
        <f>IF('Common Application'!$I$67=E28,'Common Application'!$J$67,0)</f>
        <v>0</v>
      </c>
      <c r="D28" s="16">
        <f t="shared" si="0"/>
        <v>0</v>
      </c>
      <c r="E28" s="5" t="s">
        <v>173</v>
      </c>
      <c r="F28" s="17">
        <v>52</v>
      </c>
      <c r="G28" s="10">
        <v>1.2</v>
      </c>
      <c r="H28" s="8" t="s">
        <v>174</v>
      </c>
      <c r="I28" s="9">
        <v>0.56999999999999995</v>
      </c>
      <c r="J28" s="9">
        <v>0.28000000000000003</v>
      </c>
      <c r="K28" s="9">
        <v>0.01</v>
      </c>
      <c r="L28" s="9">
        <v>0.13</v>
      </c>
      <c r="M28" s="10">
        <f t="shared" si="1"/>
        <v>0</v>
      </c>
      <c r="N28" s="117" t="s">
        <v>172</v>
      </c>
      <c r="O28" s="12">
        <v>67</v>
      </c>
      <c r="P28" s="8" t="s">
        <v>175</v>
      </c>
      <c r="Q28" s="10">
        <v>25.7</v>
      </c>
      <c r="R28" s="13">
        <f t="shared" si="2"/>
        <v>0</v>
      </c>
      <c r="S28" s="11">
        <f t="shared" si="3"/>
        <v>0</v>
      </c>
      <c r="T28" s="11">
        <f t="shared" si="4"/>
        <v>0</v>
      </c>
      <c r="U28" s="11">
        <f t="shared" si="5"/>
        <v>0</v>
      </c>
      <c r="V28" s="14">
        <f t="shared" si="6"/>
        <v>0</v>
      </c>
    </row>
    <row r="29" spans="1:22" x14ac:dyDescent="0.25">
      <c r="A29" s="50">
        <f>IF('Common Application'!$I$65=E29,'Common Application'!$J$65,0)</f>
        <v>0</v>
      </c>
      <c r="B29" s="27">
        <f>IF('Common Application'!$I$66=E29,'Common Application'!$J$66,0)</f>
        <v>0</v>
      </c>
      <c r="C29" s="15">
        <f>IF('Common Application'!$I$67=E29,'Common Application'!$J$67,0)</f>
        <v>0</v>
      </c>
      <c r="D29" s="16">
        <f t="shared" si="0"/>
        <v>0</v>
      </c>
      <c r="E29" s="5" t="s">
        <v>179</v>
      </c>
      <c r="F29" s="17">
        <v>66</v>
      </c>
      <c r="G29" s="10">
        <v>1.1000000000000001</v>
      </c>
      <c r="H29" s="8" t="s">
        <v>174</v>
      </c>
      <c r="I29" s="9">
        <v>0.56999999999999995</v>
      </c>
      <c r="J29" s="9">
        <v>0.28000000000000003</v>
      </c>
      <c r="K29" s="9">
        <v>0.01</v>
      </c>
      <c r="L29" s="9">
        <v>0.13</v>
      </c>
      <c r="M29" s="10">
        <f t="shared" si="1"/>
        <v>0</v>
      </c>
      <c r="N29" s="117" t="s">
        <v>172</v>
      </c>
      <c r="O29" s="12">
        <v>67</v>
      </c>
      <c r="P29" s="8" t="s">
        <v>175</v>
      </c>
      <c r="Q29" s="10">
        <v>25.7</v>
      </c>
      <c r="R29" s="13">
        <f t="shared" si="2"/>
        <v>0</v>
      </c>
      <c r="S29" s="11">
        <f t="shared" si="3"/>
        <v>0</v>
      </c>
      <c r="T29" s="11">
        <f t="shared" si="4"/>
        <v>0</v>
      </c>
      <c r="U29" s="11">
        <f t="shared" si="5"/>
        <v>0</v>
      </c>
      <c r="V29" s="14">
        <f t="shared" si="6"/>
        <v>0</v>
      </c>
    </row>
    <row r="30" spans="1:22" x14ac:dyDescent="0.25">
      <c r="A30" s="50">
        <f>IF('Common Application'!$I$65=E30,'Common Application'!$J$65,0)</f>
        <v>0</v>
      </c>
      <c r="B30" s="27">
        <f>IF('Common Application'!$I$66=E30,'Common Application'!$J$66,0)</f>
        <v>0</v>
      </c>
      <c r="C30" s="15">
        <f>IF('Common Application'!$I$67=E30,'Common Application'!$J$67,0)</f>
        <v>0</v>
      </c>
      <c r="D30" s="16">
        <f t="shared" si="0"/>
        <v>0</v>
      </c>
      <c r="E30" s="5" t="s">
        <v>180</v>
      </c>
      <c r="F30" s="17">
        <v>118</v>
      </c>
      <c r="G30" s="10">
        <v>1.2</v>
      </c>
      <c r="H30" s="8" t="s">
        <v>171</v>
      </c>
      <c r="I30" s="9">
        <v>0.7</v>
      </c>
      <c r="J30" s="9">
        <v>0.23</v>
      </c>
      <c r="K30" s="9">
        <v>0.01</v>
      </c>
      <c r="L30" s="9">
        <v>0.06</v>
      </c>
      <c r="M30" s="10">
        <f t="shared" si="1"/>
        <v>0</v>
      </c>
      <c r="N30" s="117" t="s">
        <v>172</v>
      </c>
      <c r="O30" s="12">
        <v>67</v>
      </c>
      <c r="P30" s="8" t="s">
        <v>171</v>
      </c>
      <c r="Q30" s="10">
        <v>14.6</v>
      </c>
      <c r="R30" s="13">
        <f t="shared" si="2"/>
        <v>0</v>
      </c>
      <c r="S30" s="11">
        <f t="shared" si="3"/>
        <v>0</v>
      </c>
      <c r="T30" s="11">
        <f t="shared" si="4"/>
        <v>0</v>
      </c>
      <c r="U30" s="11">
        <f t="shared" si="5"/>
        <v>0</v>
      </c>
      <c r="V30" s="14">
        <f t="shared" si="6"/>
        <v>0</v>
      </c>
    </row>
    <row r="31" spans="1:22" x14ac:dyDescent="0.25">
      <c r="A31" s="50">
        <f>IF('Common Application'!$I$65=E31,'Common Application'!$J$65,0)</f>
        <v>0</v>
      </c>
      <c r="B31" s="27">
        <f>IF('Common Application'!$I$66=E31,'Common Application'!$J$66,0)</f>
        <v>0</v>
      </c>
      <c r="C31" s="15">
        <f>IF('Common Application'!$I$67=E31,'Common Application'!$J$67,0)</f>
        <v>0</v>
      </c>
      <c r="D31" s="16">
        <f t="shared" si="0"/>
        <v>0</v>
      </c>
      <c r="E31" s="5" t="s">
        <v>176</v>
      </c>
      <c r="F31" s="17">
        <v>120</v>
      </c>
      <c r="G31" s="10">
        <v>1.2</v>
      </c>
      <c r="H31" s="8" t="s">
        <v>177</v>
      </c>
      <c r="I31" s="9">
        <v>0.54</v>
      </c>
      <c r="J31" s="9">
        <v>0.35</v>
      </c>
      <c r="K31" s="9">
        <v>0.03</v>
      </c>
      <c r="L31" s="9">
        <v>0</v>
      </c>
      <c r="M31" s="10">
        <f t="shared" si="1"/>
        <v>0</v>
      </c>
      <c r="N31" s="117" t="s">
        <v>178</v>
      </c>
      <c r="O31" s="12">
        <v>96</v>
      </c>
      <c r="P31" s="8" t="s">
        <v>177</v>
      </c>
      <c r="Q31" s="10">
        <v>14.6</v>
      </c>
      <c r="R31" s="13">
        <f t="shared" si="2"/>
        <v>0</v>
      </c>
      <c r="S31" s="11">
        <f t="shared" si="3"/>
        <v>0</v>
      </c>
      <c r="T31" s="11">
        <f t="shared" si="4"/>
        <v>0</v>
      </c>
      <c r="U31" s="11">
        <f t="shared" si="5"/>
        <v>0</v>
      </c>
      <c r="V31" s="14">
        <f t="shared" si="6"/>
        <v>0</v>
      </c>
    </row>
    <row r="32" spans="1:22" x14ac:dyDescent="0.25">
      <c r="A32" s="50">
        <f>IF('Common Application'!$I$65=E32,'Common Application'!$J$65,0)</f>
        <v>0</v>
      </c>
      <c r="B32" s="27">
        <f>IF('Common Application'!$I$66=E32,'Common Application'!$J$66,0)</f>
        <v>0</v>
      </c>
      <c r="C32" s="15">
        <f>IF('Common Application'!$I$67=E32,'Common Application'!$J$67,0)</f>
        <v>0</v>
      </c>
      <c r="D32" s="16">
        <f t="shared" si="0"/>
        <v>0</v>
      </c>
      <c r="E32" s="5" t="s">
        <v>181</v>
      </c>
      <c r="F32" s="17">
        <v>75</v>
      </c>
      <c r="G32" s="10">
        <v>1.2</v>
      </c>
      <c r="H32" s="8" t="s">
        <v>177</v>
      </c>
      <c r="I32" s="9">
        <v>0.54</v>
      </c>
      <c r="J32" s="9">
        <v>0.35</v>
      </c>
      <c r="K32" s="9">
        <v>0.03</v>
      </c>
      <c r="L32" s="9">
        <v>0</v>
      </c>
      <c r="M32" s="10">
        <f t="shared" si="1"/>
        <v>0</v>
      </c>
      <c r="N32" s="117" t="s">
        <v>178</v>
      </c>
      <c r="O32" s="12">
        <v>96</v>
      </c>
      <c r="P32" s="8" t="s">
        <v>177</v>
      </c>
      <c r="Q32" s="10">
        <v>14.6</v>
      </c>
      <c r="R32" s="13">
        <f t="shared" si="2"/>
        <v>0</v>
      </c>
      <c r="S32" s="11">
        <f t="shared" si="3"/>
        <v>0</v>
      </c>
      <c r="T32" s="11">
        <f t="shared" si="4"/>
        <v>0</v>
      </c>
      <c r="U32" s="11">
        <f t="shared" si="5"/>
        <v>0</v>
      </c>
      <c r="V32" s="14">
        <f t="shared" si="6"/>
        <v>0</v>
      </c>
    </row>
    <row r="33" spans="1:22" x14ac:dyDescent="0.25">
      <c r="A33" s="50">
        <f>IF('Common Application'!$I$65=E33,'Common Application'!$J$65,0)</f>
        <v>0</v>
      </c>
      <c r="B33" s="27">
        <f>IF('Common Application'!$I$66=E33,'Common Application'!$J$66,0)</f>
        <v>0</v>
      </c>
      <c r="C33" s="15">
        <f>IF('Common Application'!$I$67=E33,'Common Application'!$J$67,0)</f>
        <v>0</v>
      </c>
      <c r="D33" s="16">
        <f t="shared" si="0"/>
        <v>0</v>
      </c>
      <c r="E33" s="5" t="s">
        <v>182</v>
      </c>
      <c r="F33" s="17">
        <v>76</v>
      </c>
      <c r="G33" s="10">
        <v>1.2</v>
      </c>
      <c r="H33" s="8" t="s">
        <v>177</v>
      </c>
      <c r="I33" s="9">
        <v>0.54</v>
      </c>
      <c r="J33" s="9">
        <v>0.35</v>
      </c>
      <c r="K33" s="9">
        <v>0.03</v>
      </c>
      <c r="L33" s="9">
        <v>0</v>
      </c>
      <c r="M33" s="10">
        <f t="shared" si="1"/>
        <v>0</v>
      </c>
      <c r="N33" s="117" t="s">
        <v>178</v>
      </c>
      <c r="O33" s="12">
        <v>96</v>
      </c>
      <c r="P33" s="8" t="s">
        <v>177</v>
      </c>
      <c r="Q33" s="10">
        <v>14.6</v>
      </c>
      <c r="R33" s="13">
        <f t="shared" si="2"/>
        <v>0</v>
      </c>
      <c r="S33" s="11">
        <f t="shared" si="3"/>
        <v>0</v>
      </c>
      <c r="T33" s="11">
        <f t="shared" si="4"/>
        <v>0</v>
      </c>
      <c r="U33" s="11">
        <f t="shared" si="5"/>
        <v>0</v>
      </c>
      <c r="V33" s="14">
        <f t="shared" si="6"/>
        <v>0</v>
      </c>
    </row>
    <row r="34" spans="1:22" x14ac:dyDescent="0.25">
      <c r="A34" s="50">
        <f>IF('Common Application'!$I$65=E34,'Common Application'!$J$65,0)</f>
        <v>0</v>
      </c>
      <c r="B34" s="27">
        <f>IF('Common Application'!$I$66=E34,'Common Application'!$J$66,0)</f>
        <v>0</v>
      </c>
      <c r="C34" s="15">
        <f>IF('Common Application'!$I$67=E34,'Common Application'!$J$67,0)</f>
        <v>0</v>
      </c>
      <c r="D34" s="16">
        <f t="shared" si="0"/>
        <v>0</v>
      </c>
      <c r="E34" s="5" t="s">
        <v>183</v>
      </c>
      <c r="F34" s="17">
        <v>75</v>
      </c>
      <c r="G34" s="10">
        <v>1.2</v>
      </c>
      <c r="H34" s="8" t="s">
        <v>177</v>
      </c>
      <c r="I34" s="9">
        <v>0.54</v>
      </c>
      <c r="J34" s="9">
        <v>0.35</v>
      </c>
      <c r="K34" s="9">
        <v>0.03</v>
      </c>
      <c r="L34" s="9">
        <v>0</v>
      </c>
      <c r="M34" s="10">
        <f t="shared" si="1"/>
        <v>0</v>
      </c>
      <c r="N34" s="117" t="s">
        <v>178</v>
      </c>
      <c r="O34" s="12">
        <v>96</v>
      </c>
      <c r="P34" s="8" t="s">
        <v>177</v>
      </c>
      <c r="Q34" s="10">
        <v>14.6</v>
      </c>
      <c r="R34" s="13">
        <f t="shared" si="2"/>
        <v>0</v>
      </c>
      <c r="S34" s="11">
        <f t="shared" si="3"/>
        <v>0</v>
      </c>
      <c r="T34" s="11">
        <f t="shared" si="4"/>
        <v>0</v>
      </c>
      <c r="U34" s="11">
        <f t="shared" si="5"/>
        <v>0</v>
      </c>
      <c r="V34" s="14">
        <f t="shared" si="6"/>
        <v>0</v>
      </c>
    </row>
    <row r="35" spans="1:22" x14ac:dyDescent="0.25">
      <c r="A35" s="50">
        <f>IF('Common Application'!$I$65=E35,'Common Application'!$J$65,0)</f>
        <v>0</v>
      </c>
      <c r="B35" s="27">
        <f>IF('Common Application'!$I$66=E35,'Common Application'!$J$66,0)</f>
        <v>0</v>
      </c>
      <c r="C35" s="15">
        <f>IF('Common Application'!$I$67=E35,'Common Application'!$J$67,0)</f>
        <v>0</v>
      </c>
      <c r="D35" s="16">
        <f t="shared" si="0"/>
        <v>0</v>
      </c>
      <c r="E35" s="5" t="s">
        <v>184</v>
      </c>
      <c r="F35" s="17">
        <v>534</v>
      </c>
      <c r="G35" s="10">
        <v>1.5</v>
      </c>
      <c r="H35" s="8" t="s">
        <v>185</v>
      </c>
      <c r="I35" s="9">
        <v>0.54</v>
      </c>
      <c r="J35" s="9">
        <v>0.44</v>
      </c>
      <c r="K35" s="9">
        <v>0</v>
      </c>
      <c r="L35" s="9">
        <v>0</v>
      </c>
      <c r="M35" s="10">
        <f t="shared" si="1"/>
        <v>0</v>
      </c>
      <c r="N35" s="117" t="s">
        <v>172</v>
      </c>
      <c r="O35" s="12">
        <v>67</v>
      </c>
      <c r="P35" s="8" t="s">
        <v>186</v>
      </c>
      <c r="Q35" s="10">
        <v>215</v>
      </c>
      <c r="R35" s="13">
        <f t="shared" si="2"/>
        <v>0</v>
      </c>
      <c r="S35" s="11">
        <f t="shared" si="3"/>
        <v>0</v>
      </c>
      <c r="T35" s="11">
        <f t="shared" si="4"/>
        <v>0</v>
      </c>
      <c r="U35" s="11">
        <f t="shared" si="5"/>
        <v>0</v>
      </c>
      <c r="V35" s="14">
        <f t="shared" si="6"/>
        <v>0</v>
      </c>
    </row>
    <row r="36" spans="1:22" x14ac:dyDescent="0.25">
      <c r="A36" s="50">
        <f>IF('Common Application'!$I$65=E36,'Common Application'!$J$65,0)</f>
        <v>0</v>
      </c>
      <c r="B36" s="27">
        <f>IF('Common Application'!$I$66=E36,'Common Application'!$J$66,0)</f>
        <v>0</v>
      </c>
      <c r="C36" s="15">
        <f>IF('Common Application'!$I$67=E36,'Common Application'!$J$67,0)</f>
        <v>0</v>
      </c>
      <c r="D36" s="16">
        <f t="shared" si="0"/>
        <v>0</v>
      </c>
      <c r="E36" s="5" t="s">
        <v>187</v>
      </c>
      <c r="F36" s="17">
        <v>213</v>
      </c>
      <c r="G36" s="10">
        <v>1.5</v>
      </c>
      <c r="H36" s="8" t="s">
        <v>188</v>
      </c>
      <c r="I36" s="9">
        <v>0.79</v>
      </c>
      <c r="J36" s="9">
        <v>0.21</v>
      </c>
      <c r="K36" s="9">
        <v>0</v>
      </c>
      <c r="L36" s="9">
        <v>0</v>
      </c>
      <c r="M36" s="10">
        <f t="shared" si="1"/>
        <v>0</v>
      </c>
      <c r="N36" s="117" t="s">
        <v>172</v>
      </c>
      <c r="O36" s="12">
        <v>67</v>
      </c>
      <c r="P36" s="8" t="s">
        <v>189</v>
      </c>
      <c r="Q36" s="10">
        <v>23.7</v>
      </c>
      <c r="R36" s="13">
        <f t="shared" si="2"/>
        <v>0</v>
      </c>
      <c r="S36" s="11">
        <f t="shared" si="3"/>
        <v>0</v>
      </c>
      <c r="T36" s="11">
        <f t="shared" si="4"/>
        <v>0</v>
      </c>
      <c r="U36" s="11">
        <f t="shared" si="5"/>
        <v>0</v>
      </c>
      <c r="V36" s="14">
        <f t="shared" si="6"/>
        <v>0</v>
      </c>
    </row>
    <row r="37" spans="1:22" x14ac:dyDescent="0.25">
      <c r="A37" s="50">
        <f>IF('Common Application'!$I$65=E37,'Common Application'!$J$65,0)</f>
        <v>0</v>
      </c>
      <c r="B37" s="27">
        <f>IF('Common Application'!$I$66=E37,'Common Application'!$J$66,0)</f>
        <v>0</v>
      </c>
      <c r="C37" s="15">
        <f>IF('Common Application'!$I$67=E37,'Common Application'!$J$67,0)</f>
        <v>0</v>
      </c>
      <c r="D37" s="16">
        <f t="shared" si="0"/>
        <v>0</v>
      </c>
      <c r="E37" s="5" t="s">
        <v>33</v>
      </c>
      <c r="F37" s="17">
        <v>302</v>
      </c>
      <c r="G37" s="10">
        <v>1.5</v>
      </c>
      <c r="H37" s="8" t="s">
        <v>185</v>
      </c>
      <c r="I37" s="9">
        <v>0.54</v>
      </c>
      <c r="J37" s="9">
        <v>0.44</v>
      </c>
      <c r="K37" s="9">
        <v>0</v>
      </c>
      <c r="L37" s="9">
        <v>0</v>
      </c>
      <c r="M37" s="10">
        <f t="shared" si="1"/>
        <v>0</v>
      </c>
      <c r="N37" s="117" t="s">
        <v>172</v>
      </c>
      <c r="O37" s="12">
        <v>67</v>
      </c>
      <c r="P37" s="8" t="s">
        <v>186</v>
      </c>
      <c r="Q37" s="10">
        <v>215</v>
      </c>
      <c r="R37" s="13">
        <f t="shared" si="2"/>
        <v>0</v>
      </c>
      <c r="S37" s="11">
        <f t="shared" si="3"/>
        <v>0</v>
      </c>
      <c r="T37" s="11">
        <f t="shared" si="4"/>
        <v>0</v>
      </c>
      <c r="U37" s="11">
        <f t="shared" si="5"/>
        <v>0</v>
      </c>
      <c r="V37" s="14">
        <f t="shared" si="6"/>
        <v>0</v>
      </c>
    </row>
    <row r="38" spans="1:22" x14ac:dyDescent="0.25">
      <c r="A38" s="50">
        <f>IF('Common Application'!$I$65=E38,'Common Application'!$J$65,0)</f>
        <v>0</v>
      </c>
      <c r="B38" s="27">
        <f>IF('Common Application'!$I$66=E38,'Common Application'!$J$66,0)</f>
        <v>0</v>
      </c>
      <c r="C38" s="15">
        <f>IF('Common Application'!$I$67=E38,'Common Application'!$J$67,0)</f>
        <v>0</v>
      </c>
      <c r="D38" s="16">
        <f t="shared" si="0"/>
        <v>0</v>
      </c>
      <c r="E38" s="5" t="s">
        <v>190</v>
      </c>
      <c r="F38" s="17">
        <v>225</v>
      </c>
      <c r="G38" s="10">
        <v>1.5</v>
      </c>
      <c r="H38" s="8" t="s">
        <v>188</v>
      </c>
      <c r="I38" s="9">
        <v>0.79</v>
      </c>
      <c r="J38" s="9">
        <v>0.21</v>
      </c>
      <c r="K38" s="9">
        <v>0</v>
      </c>
      <c r="L38" s="9">
        <v>0</v>
      </c>
      <c r="M38" s="10">
        <f t="shared" si="1"/>
        <v>0</v>
      </c>
      <c r="N38" s="117" t="s">
        <v>172</v>
      </c>
      <c r="O38" s="12">
        <v>67</v>
      </c>
      <c r="P38" s="8" t="s">
        <v>191</v>
      </c>
      <c r="Q38" s="10">
        <v>23.7</v>
      </c>
      <c r="R38" s="13">
        <f t="shared" si="2"/>
        <v>0</v>
      </c>
      <c r="S38" s="11">
        <f t="shared" si="3"/>
        <v>0</v>
      </c>
      <c r="T38" s="11">
        <f t="shared" si="4"/>
        <v>0</v>
      </c>
      <c r="U38" s="11">
        <f t="shared" si="5"/>
        <v>0</v>
      </c>
      <c r="V38" s="14">
        <f t="shared" si="6"/>
        <v>0</v>
      </c>
    </row>
    <row r="39" spans="1:22" x14ac:dyDescent="0.25">
      <c r="A39" s="50">
        <f>IF('Common Application'!$I$65=E39,'Common Application'!$J$65,0)</f>
        <v>0</v>
      </c>
      <c r="B39" s="27">
        <f>IF('Common Application'!$I$66=E39,'Common Application'!$J$66,0)</f>
        <v>0</v>
      </c>
      <c r="C39" s="15">
        <f>IF('Common Application'!$I$67=E39,'Common Application'!$J$67,0)</f>
        <v>0</v>
      </c>
      <c r="D39" s="16">
        <f t="shared" si="0"/>
        <v>0</v>
      </c>
      <c r="E39" s="5" t="s">
        <v>192</v>
      </c>
      <c r="F39" s="17">
        <v>351</v>
      </c>
      <c r="G39" s="10">
        <v>1.5</v>
      </c>
      <c r="H39" s="8" t="s">
        <v>185</v>
      </c>
      <c r="I39" s="9">
        <v>0.54</v>
      </c>
      <c r="J39" s="9">
        <v>0.44</v>
      </c>
      <c r="K39" s="9">
        <v>0</v>
      </c>
      <c r="L39" s="9">
        <v>0</v>
      </c>
      <c r="M39" s="10">
        <f t="shared" si="1"/>
        <v>0</v>
      </c>
      <c r="N39" s="117" t="s">
        <v>172</v>
      </c>
      <c r="O39" s="12">
        <v>67</v>
      </c>
      <c r="P39" s="8" t="s">
        <v>186</v>
      </c>
      <c r="Q39" s="10">
        <v>215</v>
      </c>
      <c r="R39" s="13">
        <f t="shared" si="2"/>
        <v>0</v>
      </c>
      <c r="S39" s="11">
        <f t="shared" si="3"/>
        <v>0</v>
      </c>
      <c r="T39" s="11">
        <f t="shared" si="4"/>
        <v>0</v>
      </c>
      <c r="U39" s="11">
        <f t="shared" si="5"/>
        <v>0</v>
      </c>
      <c r="V39" s="14">
        <f t="shared" si="6"/>
        <v>0</v>
      </c>
    </row>
    <row r="40" spans="1:22" x14ac:dyDescent="0.25">
      <c r="A40" s="50">
        <f>IF('Common Application'!$I$65=E40,'Common Application'!$J$65,0)</f>
        <v>0</v>
      </c>
      <c r="B40" s="27">
        <f>IF('Common Application'!$I$66=E40,'Common Application'!$J$66,0)</f>
        <v>0</v>
      </c>
      <c r="C40" s="15">
        <f>IF('Common Application'!$I$67=E40,'Common Application'!$J$67,0)</f>
        <v>0</v>
      </c>
      <c r="D40" s="16">
        <f t="shared" si="0"/>
        <v>0</v>
      </c>
      <c r="E40" s="5" t="s">
        <v>193</v>
      </c>
      <c r="F40" s="17">
        <v>370</v>
      </c>
      <c r="G40" s="10">
        <v>1.4</v>
      </c>
      <c r="H40" s="8" t="s">
        <v>194</v>
      </c>
      <c r="I40" s="9">
        <v>0.51</v>
      </c>
      <c r="J40" s="9">
        <v>0.37</v>
      </c>
      <c r="K40" s="9">
        <v>0.03</v>
      </c>
      <c r="L40" s="9">
        <v>0.09</v>
      </c>
      <c r="M40" s="10">
        <f t="shared" si="1"/>
        <v>0</v>
      </c>
      <c r="N40" s="117" t="s">
        <v>178</v>
      </c>
      <c r="O40" s="12">
        <v>96</v>
      </c>
      <c r="P40" s="8" t="s">
        <v>194</v>
      </c>
      <c r="Q40" s="10">
        <v>49.6</v>
      </c>
      <c r="R40" s="13">
        <f t="shared" si="2"/>
        <v>0</v>
      </c>
      <c r="S40" s="11">
        <f t="shared" si="3"/>
        <v>0</v>
      </c>
      <c r="T40" s="11">
        <f t="shared" si="4"/>
        <v>0</v>
      </c>
      <c r="U40" s="11">
        <f t="shared" si="5"/>
        <v>0</v>
      </c>
      <c r="V40" s="14">
        <f t="shared" si="6"/>
        <v>0</v>
      </c>
    </row>
    <row r="41" spans="1:22" x14ac:dyDescent="0.25">
      <c r="A41" s="50">
        <f>IF('Common Application'!$I$65=E41,'Common Application'!$J$65,0)</f>
        <v>0</v>
      </c>
      <c r="B41" s="27">
        <f>IF('Common Application'!$I$66=E41,'Common Application'!$J$66,0)</f>
        <v>0</v>
      </c>
      <c r="C41" s="15">
        <f>IF('Common Application'!$I$67=E41,'Common Application'!$J$67,0)</f>
        <v>0</v>
      </c>
      <c r="D41" s="16">
        <f t="shared" si="0"/>
        <v>0</v>
      </c>
      <c r="E41" s="5" t="s">
        <v>195</v>
      </c>
      <c r="F41" s="17">
        <v>104</v>
      </c>
      <c r="G41" s="10">
        <v>1.3</v>
      </c>
      <c r="H41" s="8" t="s">
        <v>196</v>
      </c>
      <c r="I41" s="9">
        <v>0.56999999999999995</v>
      </c>
      <c r="J41" s="9">
        <v>0.28000000000000003</v>
      </c>
      <c r="K41" s="9">
        <v>0.01</v>
      </c>
      <c r="L41" s="9">
        <v>0.13</v>
      </c>
      <c r="M41" s="10">
        <f t="shared" si="1"/>
        <v>0</v>
      </c>
      <c r="N41" s="118" t="s">
        <v>197</v>
      </c>
      <c r="O41" s="12">
        <v>92</v>
      </c>
      <c r="P41" s="8" t="s">
        <v>175</v>
      </c>
      <c r="Q41" s="10">
        <v>25.7</v>
      </c>
      <c r="R41" s="13">
        <f t="shared" si="2"/>
        <v>0</v>
      </c>
      <c r="S41" s="11">
        <f t="shared" si="3"/>
        <v>0</v>
      </c>
      <c r="T41" s="11">
        <f t="shared" si="4"/>
        <v>0</v>
      </c>
      <c r="U41" s="11">
        <f t="shared" si="5"/>
        <v>0</v>
      </c>
      <c r="V41" s="14">
        <f t="shared" si="6"/>
        <v>0</v>
      </c>
    </row>
    <row r="42" spans="1:22" x14ac:dyDescent="0.25">
      <c r="A42" s="50">
        <f>IF('Common Application'!$I$65=E42,'Common Application'!$J$65,0)</f>
        <v>0</v>
      </c>
      <c r="B42" s="27">
        <f>IF('Common Application'!$I$66=E42,'Common Application'!$J$66,0)</f>
        <v>0</v>
      </c>
      <c r="C42" s="15">
        <f>IF('Common Application'!$I$67=E42,'Common Application'!$J$67,0)</f>
        <v>0</v>
      </c>
      <c r="D42" s="16">
        <f t="shared" si="0"/>
        <v>0</v>
      </c>
      <c r="E42" s="5" t="s">
        <v>198</v>
      </c>
      <c r="F42" s="17">
        <v>94</v>
      </c>
      <c r="G42" s="10">
        <v>1</v>
      </c>
      <c r="H42" s="8" t="s">
        <v>199</v>
      </c>
      <c r="I42" s="9">
        <v>0.54</v>
      </c>
      <c r="J42" s="9">
        <v>0.39</v>
      </c>
      <c r="K42" s="9">
        <v>0.01</v>
      </c>
      <c r="L42" s="9">
        <v>0</v>
      </c>
      <c r="M42" s="10">
        <f t="shared" si="1"/>
        <v>0</v>
      </c>
      <c r="N42" s="118" t="s">
        <v>199</v>
      </c>
      <c r="O42" s="12">
        <v>57</v>
      </c>
      <c r="P42" s="8" t="s">
        <v>199</v>
      </c>
      <c r="Q42" s="10">
        <v>41.7</v>
      </c>
      <c r="R42" s="13">
        <f t="shared" si="2"/>
        <v>0</v>
      </c>
      <c r="S42" s="11">
        <f t="shared" si="3"/>
        <v>0</v>
      </c>
      <c r="T42" s="11">
        <f t="shared" si="4"/>
        <v>0</v>
      </c>
      <c r="U42" s="11">
        <f t="shared" si="5"/>
        <v>0</v>
      </c>
      <c r="V42" s="14">
        <f t="shared" si="6"/>
        <v>0</v>
      </c>
    </row>
    <row r="43" spans="1:22" x14ac:dyDescent="0.25">
      <c r="A43" s="50">
        <f>IF('Common Application'!$I$65=E43,'Common Application'!$J$65,0)</f>
        <v>0</v>
      </c>
      <c r="B43" s="27">
        <f>IF('Common Application'!$I$66=E43,'Common Application'!$J$66,0)</f>
        <v>0</v>
      </c>
      <c r="C43" s="15">
        <f>IF('Common Application'!$I$67=E43,'Common Application'!$J$67,0)</f>
        <v>0</v>
      </c>
      <c r="D43" s="16">
        <f t="shared" si="0"/>
        <v>0</v>
      </c>
      <c r="E43" s="5" t="s">
        <v>200</v>
      </c>
      <c r="F43" s="17">
        <v>89</v>
      </c>
      <c r="G43" s="10">
        <v>1</v>
      </c>
      <c r="H43" s="8" t="s">
        <v>199</v>
      </c>
      <c r="I43" s="9">
        <v>0.54</v>
      </c>
      <c r="J43" s="9">
        <v>0.39</v>
      </c>
      <c r="K43" s="9">
        <v>0.01</v>
      </c>
      <c r="L43" s="9">
        <v>0</v>
      </c>
      <c r="M43" s="10">
        <f t="shared" si="1"/>
        <v>0</v>
      </c>
      <c r="N43" s="118" t="s">
        <v>199</v>
      </c>
      <c r="O43" s="12">
        <v>57</v>
      </c>
      <c r="P43" s="8" t="s">
        <v>199</v>
      </c>
      <c r="Q43" s="10">
        <v>41.7</v>
      </c>
      <c r="R43" s="13">
        <f t="shared" si="2"/>
        <v>0</v>
      </c>
      <c r="S43" s="11">
        <f t="shared" si="3"/>
        <v>0</v>
      </c>
      <c r="T43" s="11">
        <f t="shared" si="4"/>
        <v>0</v>
      </c>
      <c r="U43" s="11">
        <f t="shared" si="5"/>
        <v>0</v>
      </c>
      <c r="V43" s="14">
        <f t="shared" si="6"/>
        <v>0</v>
      </c>
    </row>
    <row r="44" spans="1:22" x14ac:dyDescent="0.25">
      <c r="A44" s="50">
        <f>IF('Common Application'!$I$65=E44,'Common Application'!$J$65,0)</f>
        <v>0</v>
      </c>
      <c r="B44" s="27">
        <f>IF('Common Application'!$I$66=E44,'Common Application'!$J$66,0)</f>
        <v>0</v>
      </c>
      <c r="C44" s="15">
        <f>IF('Common Application'!$I$67=E44,'Common Application'!$J$67,0)</f>
        <v>0</v>
      </c>
      <c r="D44" s="16">
        <f t="shared" si="0"/>
        <v>0</v>
      </c>
      <c r="E44" s="5" t="s">
        <v>201</v>
      </c>
      <c r="F44" s="17">
        <v>227</v>
      </c>
      <c r="G44" s="10">
        <v>1.2</v>
      </c>
      <c r="H44" s="8" t="s">
        <v>194</v>
      </c>
      <c r="I44" s="9">
        <v>0.51</v>
      </c>
      <c r="J44" s="9">
        <v>0.37</v>
      </c>
      <c r="K44" s="9">
        <v>0.03</v>
      </c>
      <c r="L44" s="9">
        <v>0.09</v>
      </c>
      <c r="M44" s="10">
        <f t="shared" si="1"/>
        <v>0</v>
      </c>
      <c r="N44" s="117" t="s">
        <v>202</v>
      </c>
      <c r="O44" s="12">
        <v>75</v>
      </c>
      <c r="P44" s="8" t="s">
        <v>194</v>
      </c>
      <c r="Q44" s="10">
        <v>49.6</v>
      </c>
      <c r="R44" s="13">
        <f t="shared" si="2"/>
        <v>0</v>
      </c>
      <c r="S44" s="11">
        <f t="shared" si="3"/>
        <v>0</v>
      </c>
      <c r="T44" s="11">
        <f t="shared" si="4"/>
        <v>0</v>
      </c>
      <c r="U44" s="11">
        <f t="shared" si="5"/>
        <v>0</v>
      </c>
      <c r="V44" s="14">
        <f t="shared" si="6"/>
        <v>0</v>
      </c>
    </row>
    <row r="45" spans="1:22" x14ac:dyDescent="0.25">
      <c r="A45" s="50">
        <f>IF('Common Application'!$I$65=E45,'Common Application'!$J$65,0)</f>
        <v>0</v>
      </c>
      <c r="B45" s="27">
        <f>IF('Common Application'!$I$66=E45,'Common Application'!$J$66,0)</f>
        <v>0</v>
      </c>
      <c r="C45" s="15">
        <f>IF('Common Application'!$I$67=E45,'Common Application'!$J$67,0)</f>
        <v>0</v>
      </c>
      <c r="D45" s="16">
        <f t="shared" si="0"/>
        <v>0</v>
      </c>
      <c r="E45" s="5" t="s">
        <v>203</v>
      </c>
      <c r="F45" s="17">
        <v>59</v>
      </c>
      <c r="G45" s="10">
        <v>1</v>
      </c>
      <c r="H45" s="8" t="s">
        <v>204</v>
      </c>
      <c r="I45" s="9">
        <v>0.51</v>
      </c>
      <c r="J45" s="9">
        <v>0.37</v>
      </c>
      <c r="K45" s="9">
        <v>0.03</v>
      </c>
      <c r="L45" s="9">
        <v>0.09</v>
      </c>
      <c r="M45" s="10">
        <f t="shared" si="1"/>
        <v>0</v>
      </c>
      <c r="N45" s="117" t="s">
        <v>202</v>
      </c>
      <c r="O45" s="12">
        <v>75</v>
      </c>
      <c r="P45" s="8" t="s">
        <v>205</v>
      </c>
      <c r="Q45" s="10">
        <v>15.6</v>
      </c>
      <c r="R45" s="13">
        <f t="shared" si="2"/>
        <v>0</v>
      </c>
      <c r="S45" s="11">
        <f t="shared" si="3"/>
        <v>0</v>
      </c>
      <c r="T45" s="11">
        <f t="shared" si="4"/>
        <v>0</v>
      </c>
      <c r="U45" s="11">
        <f t="shared" si="5"/>
        <v>0</v>
      </c>
      <c r="V45" s="14">
        <f t="shared" si="6"/>
        <v>0</v>
      </c>
    </row>
    <row r="46" spans="1:22" x14ac:dyDescent="0.25">
      <c r="A46" s="50">
        <f>IF('Common Application'!$I$65=E46,'Common Application'!$J$65,0)</f>
        <v>0</v>
      </c>
      <c r="B46" s="27">
        <f>IF('Common Application'!$I$66=E46,'Common Application'!$J$66,0)</f>
        <v>0</v>
      </c>
      <c r="C46" s="15">
        <f>IF('Common Application'!$I$67=E46,'Common Application'!$J$67,0)</f>
        <v>0</v>
      </c>
      <c r="D46" s="16">
        <f t="shared" si="0"/>
        <v>0</v>
      </c>
      <c r="E46" s="5" t="s">
        <v>206</v>
      </c>
      <c r="F46" s="17">
        <v>73</v>
      </c>
      <c r="G46" s="10">
        <v>1.2</v>
      </c>
      <c r="H46" s="8" t="s">
        <v>205</v>
      </c>
      <c r="I46" s="9">
        <v>0.67</v>
      </c>
      <c r="J46" s="9">
        <v>0.27</v>
      </c>
      <c r="K46" s="9">
        <v>0</v>
      </c>
      <c r="L46" s="9">
        <v>0</v>
      </c>
      <c r="M46" s="10">
        <f t="shared" si="1"/>
        <v>0</v>
      </c>
      <c r="N46" s="117" t="s">
        <v>202</v>
      </c>
      <c r="O46" s="12">
        <v>76</v>
      </c>
      <c r="P46" s="8" t="s">
        <v>205</v>
      </c>
      <c r="Q46" s="10">
        <v>15.6</v>
      </c>
      <c r="R46" s="13">
        <f t="shared" si="2"/>
        <v>0</v>
      </c>
      <c r="S46" s="11">
        <f t="shared" si="3"/>
        <v>0</v>
      </c>
      <c r="T46" s="11">
        <f t="shared" si="4"/>
        <v>0</v>
      </c>
      <c r="U46" s="11">
        <f t="shared" si="5"/>
        <v>0</v>
      </c>
      <c r="V46" s="14">
        <f t="shared" si="6"/>
        <v>0</v>
      </c>
    </row>
    <row r="47" spans="1:22" x14ac:dyDescent="0.25">
      <c r="A47" s="50">
        <f>IF('Common Application'!$I$65=E47,'Common Application'!$J$65,0)</f>
        <v>0</v>
      </c>
      <c r="B47" s="27">
        <f>IF('Common Application'!$I$66=E47,'Common Application'!$J$66,0)</f>
        <v>0</v>
      </c>
      <c r="C47" s="15">
        <f>IF('Common Application'!$I$67=E47,'Common Application'!$J$67,0)</f>
        <v>0</v>
      </c>
      <c r="D47" s="16">
        <f t="shared" si="0"/>
        <v>0</v>
      </c>
      <c r="E47" s="5" t="s">
        <v>207</v>
      </c>
      <c r="F47" s="17">
        <v>52</v>
      </c>
      <c r="G47" s="10">
        <v>1.2</v>
      </c>
      <c r="H47" s="8" t="s">
        <v>196</v>
      </c>
      <c r="I47" s="9">
        <v>0.56999999999999995</v>
      </c>
      <c r="J47" s="9">
        <v>0.28000000000000003</v>
      </c>
      <c r="K47" s="9">
        <v>0.01</v>
      </c>
      <c r="L47" s="9">
        <v>0.13</v>
      </c>
      <c r="M47" s="10">
        <f t="shared" si="1"/>
        <v>0</v>
      </c>
      <c r="N47" s="118" t="s">
        <v>208</v>
      </c>
      <c r="O47" s="12">
        <v>50</v>
      </c>
      <c r="P47" s="8" t="s">
        <v>175</v>
      </c>
      <c r="Q47" s="10">
        <v>25.7</v>
      </c>
      <c r="R47" s="13">
        <f t="shared" si="2"/>
        <v>0</v>
      </c>
      <c r="S47" s="11">
        <f t="shared" si="3"/>
        <v>0</v>
      </c>
      <c r="T47" s="11">
        <f t="shared" si="4"/>
        <v>0</v>
      </c>
      <c r="U47" s="11">
        <f t="shared" si="5"/>
        <v>0</v>
      </c>
      <c r="V47" s="14">
        <f t="shared" si="6"/>
        <v>0</v>
      </c>
    </row>
    <row r="48" spans="1:22" x14ac:dyDescent="0.25">
      <c r="A48" s="50">
        <f>IF('Common Application'!$I$65=E48,'Common Application'!$J$65,0)</f>
        <v>0</v>
      </c>
      <c r="B48" s="27">
        <f>IF('Common Application'!$I$66=E48,'Common Application'!$J$66,0)</f>
        <v>0</v>
      </c>
      <c r="C48" s="15">
        <f>IF('Common Application'!$I$67=E48,'Common Application'!$J$67,0)</f>
        <v>0</v>
      </c>
      <c r="D48" s="16">
        <f t="shared" si="0"/>
        <v>0</v>
      </c>
      <c r="E48" s="5" t="s">
        <v>209</v>
      </c>
      <c r="F48" s="17">
        <v>95</v>
      </c>
      <c r="G48" s="10">
        <v>1.6</v>
      </c>
      <c r="H48" s="8" t="s">
        <v>196</v>
      </c>
      <c r="I48" s="9">
        <v>0.56999999999999995</v>
      </c>
      <c r="J48" s="9">
        <v>0.28000000000000003</v>
      </c>
      <c r="K48" s="9">
        <v>0.01</v>
      </c>
      <c r="L48" s="9">
        <v>0.13</v>
      </c>
      <c r="M48" s="10">
        <f t="shared" si="1"/>
        <v>0</v>
      </c>
      <c r="N48" s="118" t="s">
        <v>197</v>
      </c>
      <c r="O48" s="12">
        <v>92</v>
      </c>
      <c r="P48" s="8" t="s">
        <v>175</v>
      </c>
      <c r="Q48" s="10">
        <v>25.7</v>
      </c>
      <c r="R48" s="13">
        <f t="shared" si="2"/>
        <v>0</v>
      </c>
      <c r="S48" s="11">
        <f t="shared" si="3"/>
        <v>0</v>
      </c>
      <c r="T48" s="11">
        <f t="shared" si="4"/>
        <v>0</v>
      </c>
      <c r="U48" s="11">
        <f t="shared" si="5"/>
        <v>0</v>
      </c>
      <c r="V48" s="14">
        <f t="shared" si="6"/>
        <v>0</v>
      </c>
    </row>
    <row r="49" spans="1:22" x14ac:dyDescent="0.25">
      <c r="A49" s="50">
        <f>IF('Common Application'!$I$65=E49,'Common Application'!$J$65,0)</f>
        <v>0</v>
      </c>
      <c r="B49" s="27">
        <f>IF('Common Application'!$I$66=E49,'Common Application'!$J$66,0)</f>
        <v>0</v>
      </c>
      <c r="C49" s="15">
        <f>IF('Common Application'!$I$67=E49,'Common Application'!$J$67,0)</f>
        <v>0</v>
      </c>
      <c r="D49" s="16">
        <f t="shared" si="0"/>
        <v>0</v>
      </c>
      <c r="E49" s="5" t="s">
        <v>210</v>
      </c>
      <c r="F49" s="17">
        <v>95</v>
      </c>
      <c r="G49" s="10">
        <v>1.6</v>
      </c>
      <c r="H49" s="8" t="s">
        <v>196</v>
      </c>
      <c r="I49" s="9">
        <v>0.56999999999999995</v>
      </c>
      <c r="J49" s="9">
        <v>0.28000000000000003</v>
      </c>
      <c r="K49" s="9">
        <v>0.01</v>
      </c>
      <c r="L49" s="9">
        <v>0.13</v>
      </c>
      <c r="M49" s="10">
        <f t="shared" si="1"/>
        <v>0</v>
      </c>
      <c r="N49" s="118" t="s">
        <v>197</v>
      </c>
      <c r="O49" s="12">
        <v>92</v>
      </c>
      <c r="P49" s="8" t="s">
        <v>175</v>
      </c>
      <c r="Q49" s="10">
        <v>25.7</v>
      </c>
      <c r="R49" s="13">
        <f t="shared" si="2"/>
        <v>0</v>
      </c>
      <c r="S49" s="11">
        <f t="shared" si="3"/>
        <v>0</v>
      </c>
      <c r="T49" s="11">
        <f t="shared" si="4"/>
        <v>0</v>
      </c>
      <c r="U49" s="11">
        <f t="shared" si="5"/>
        <v>0</v>
      </c>
      <c r="V49" s="14">
        <f t="shared" si="6"/>
        <v>0</v>
      </c>
    </row>
    <row r="50" spans="1:22" x14ac:dyDescent="0.25">
      <c r="A50" s="50">
        <f>IF('Common Application'!$I$65=E50,'Common Application'!$J$65,0)</f>
        <v>0</v>
      </c>
      <c r="B50" s="27">
        <f>IF('Common Application'!$I$66=E50,'Common Application'!$J$66,0)</f>
        <v>0.05</v>
      </c>
      <c r="C50" s="15">
        <f>IF('Common Application'!$I$67=E50,'Common Application'!$J$67,0)</f>
        <v>0</v>
      </c>
      <c r="D50" s="16">
        <f t="shared" si="0"/>
        <v>0.05</v>
      </c>
      <c r="E50" s="5" t="s">
        <v>171</v>
      </c>
      <c r="F50" s="17">
        <v>90</v>
      </c>
      <c r="G50" s="10">
        <v>1</v>
      </c>
      <c r="H50" s="8" t="s">
        <v>171</v>
      </c>
      <c r="I50" s="9">
        <v>0.7</v>
      </c>
      <c r="J50" s="9">
        <v>0.23</v>
      </c>
      <c r="K50" s="9">
        <v>0.01</v>
      </c>
      <c r="L50" s="9">
        <v>0.06</v>
      </c>
      <c r="M50" s="10">
        <f t="shared" si="1"/>
        <v>0</v>
      </c>
      <c r="N50" s="117" t="s">
        <v>172</v>
      </c>
      <c r="O50" s="12">
        <v>67</v>
      </c>
      <c r="P50" s="8" t="s">
        <v>171</v>
      </c>
      <c r="Q50" s="10">
        <v>14.6</v>
      </c>
      <c r="R50" s="13">
        <f t="shared" si="2"/>
        <v>0</v>
      </c>
      <c r="S50" s="11">
        <f t="shared" si="3"/>
        <v>4.5</v>
      </c>
      <c r="T50" s="11">
        <f t="shared" si="4"/>
        <v>0.73</v>
      </c>
      <c r="U50" s="11">
        <f t="shared" si="5"/>
        <v>3.35</v>
      </c>
      <c r="V50" s="14">
        <f t="shared" si="6"/>
        <v>0.05</v>
      </c>
    </row>
    <row r="51" spans="1:22" x14ac:dyDescent="0.25">
      <c r="A51" s="50">
        <f>IF('Common Application'!$I$65=E51,'Common Application'!$J$65,0)</f>
        <v>0</v>
      </c>
      <c r="B51" s="27">
        <f>IF('Common Application'!$I$66=E51,'Common Application'!$J$66,0)</f>
        <v>0</v>
      </c>
      <c r="C51" s="15">
        <f>IF('Common Application'!$I$67=E51,'Common Application'!$J$67,0)</f>
        <v>0</v>
      </c>
      <c r="D51" s="16">
        <f t="shared" si="0"/>
        <v>0</v>
      </c>
      <c r="E51" s="5" t="s">
        <v>211</v>
      </c>
      <c r="F51" s="17">
        <v>95</v>
      </c>
      <c r="G51" s="10">
        <v>1.6</v>
      </c>
      <c r="H51" s="8" t="s">
        <v>196</v>
      </c>
      <c r="I51" s="9">
        <v>0.56999999999999995</v>
      </c>
      <c r="J51" s="9">
        <v>0.28000000000000003</v>
      </c>
      <c r="K51" s="9">
        <v>0.01</v>
      </c>
      <c r="L51" s="9">
        <v>0.13</v>
      </c>
      <c r="M51" s="10">
        <f t="shared" si="1"/>
        <v>0</v>
      </c>
      <c r="N51" s="118" t="s">
        <v>197</v>
      </c>
      <c r="O51" s="12">
        <v>92</v>
      </c>
      <c r="P51" s="8" t="s">
        <v>175</v>
      </c>
      <c r="Q51" s="10">
        <v>25.7</v>
      </c>
      <c r="R51" s="13">
        <f t="shared" si="2"/>
        <v>0</v>
      </c>
      <c r="S51" s="11">
        <f t="shared" si="3"/>
        <v>0</v>
      </c>
      <c r="T51" s="11">
        <f t="shared" si="4"/>
        <v>0</v>
      </c>
      <c r="U51" s="11">
        <f t="shared" si="5"/>
        <v>0</v>
      </c>
      <c r="V51" s="14">
        <f t="shared" si="6"/>
        <v>0</v>
      </c>
    </row>
    <row r="52" spans="1:22" x14ac:dyDescent="0.25">
      <c r="A52" s="50">
        <f>IF('Common Application'!$I$65=E52,'Common Application'!$J$65,0)</f>
        <v>0</v>
      </c>
      <c r="B52" s="27">
        <f>IF('Common Application'!$I$66=E52,'Common Application'!$J$66,0)</f>
        <v>0</v>
      </c>
      <c r="C52" s="15">
        <f>IF('Common Application'!$I$67=E52,'Common Application'!$J$67,0)</f>
        <v>0</v>
      </c>
      <c r="D52" s="16">
        <f t="shared" si="0"/>
        <v>0</v>
      </c>
      <c r="E52" s="5" t="s">
        <v>175</v>
      </c>
      <c r="F52" s="17">
        <v>66</v>
      </c>
      <c r="G52" s="10">
        <v>1.1000000000000001</v>
      </c>
      <c r="H52" s="8" t="s">
        <v>196</v>
      </c>
      <c r="I52" s="9">
        <v>0.56999999999999995</v>
      </c>
      <c r="J52" s="9">
        <v>0.28000000000000003</v>
      </c>
      <c r="K52" s="9">
        <v>0.01</v>
      </c>
      <c r="L52" s="9">
        <v>0.13</v>
      </c>
      <c r="M52" s="10">
        <f t="shared" si="1"/>
        <v>0</v>
      </c>
      <c r="N52" s="118" t="s">
        <v>208</v>
      </c>
      <c r="O52" s="12">
        <v>50</v>
      </c>
      <c r="P52" s="8" t="s">
        <v>175</v>
      </c>
      <c r="Q52" s="10">
        <v>25.7</v>
      </c>
      <c r="R52" s="13">
        <f t="shared" si="2"/>
        <v>0</v>
      </c>
      <c r="S52" s="11">
        <f t="shared" si="3"/>
        <v>0</v>
      </c>
      <c r="T52" s="11">
        <f t="shared" si="4"/>
        <v>0</v>
      </c>
      <c r="U52" s="11">
        <f t="shared" si="5"/>
        <v>0</v>
      </c>
      <c r="V52" s="14">
        <f t="shared" si="6"/>
        <v>0</v>
      </c>
    </row>
    <row r="53" spans="1:22" x14ac:dyDescent="0.25">
      <c r="A53" s="50">
        <f>IF('Common Application'!$I$65=E53,'Common Application'!$J$65,0)</f>
        <v>0</v>
      </c>
      <c r="B53" s="27">
        <f>IF('Common Application'!$I$66=E53,'Common Application'!$J$66,0)</f>
        <v>0</v>
      </c>
      <c r="C53" s="15">
        <f>IF('Common Application'!$I$67=E53,'Common Application'!$J$67,0)</f>
        <v>0</v>
      </c>
      <c r="D53" s="16">
        <f t="shared" si="0"/>
        <v>0</v>
      </c>
      <c r="E53" s="5" t="s">
        <v>212</v>
      </c>
      <c r="F53" s="17">
        <v>90</v>
      </c>
      <c r="G53" s="10">
        <v>1</v>
      </c>
      <c r="H53" s="8" t="s">
        <v>213</v>
      </c>
      <c r="I53" s="9">
        <v>0.55000000000000004</v>
      </c>
      <c r="J53" s="9">
        <v>0.31</v>
      </c>
      <c r="K53" s="9">
        <v>0.02</v>
      </c>
      <c r="L53" s="9">
        <v>0</v>
      </c>
      <c r="M53" s="10">
        <f t="shared" si="1"/>
        <v>0</v>
      </c>
      <c r="N53" s="118" t="s">
        <v>208</v>
      </c>
      <c r="O53" s="12">
        <v>50</v>
      </c>
      <c r="P53" s="8" t="s">
        <v>214</v>
      </c>
      <c r="Q53" s="10">
        <v>42.1</v>
      </c>
      <c r="R53" s="13">
        <f t="shared" si="2"/>
        <v>0</v>
      </c>
      <c r="S53" s="11">
        <f t="shared" si="3"/>
        <v>0</v>
      </c>
      <c r="T53" s="11">
        <f t="shared" si="4"/>
        <v>0</v>
      </c>
      <c r="U53" s="11">
        <f t="shared" si="5"/>
        <v>0</v>
      </c>
      <c r="V53" s="14">
        <f t="shared" si="6"/>
        <v>0</v>
      </c>
    </row>
    <row r="54" spans="1:22" x14ac:dyDescent="0.25">
      <c r="A54" s="50">
        <f>IF('Common Application'!$I$65=E54,'Common Application'!$J$65,0)</f>
        <v>0</v>
      </c>
      <c r="B54" s="27">
        <f>IF('Common Application'!$I$66=E54,'Common Application'!$J$66,0)</f>
        <v>0</v>
      </c>
      <c r="C54" s="15">
        <f>IF('Common Application'!$I$67=E54,'Common Application'!$J$67,0)</f>
        <v>0</v>
      </c>
      <c r="D54" s="16">
        <f t="shared" si="0"/>
        <v>0</v>
      </c>
      <c r="E54" s="5" t="s">
        <v>215</v>
      </c>
      <c r="F54" s="17">
        <v>66</v>
      </c>
      <c r="G54" s="10">
        <v>1.1000000000000001</v>
      </c>
      <c r="H54" s="8" t="s">
        <v>196</v>
      </c>
      <c r="I54" s="9">
        <v>0.56999999999999995</v>
      </c>
      <c r="J54" s="9">
        <v>0.28000000000000003</v>
      </c>
      <c r="K54" s="9">
        <v>0.01</v>
      </c>
      <c r="L54" s="9">
        <v>0.13</v>
      </c>
      <c r="M54" s="10">
        <f t="shared" si="1"/>
        <v>0</v>
      </c>
      <c r="N54" s="118" t="s">
        <v>208</v>
      </c>
      <c r="O54" s="12">
        <v>50</v>
      </c>
      <c r="P54" s="8" t="s">
        <v>175</v>
      </c>
      <c r="Q54" s="10">
        <v>25.7</v>
      </c>
      <c r="R54" s="13">
        <f t="shared" si="2"/>
        <v>0</v>
      </c>
      <c r="S54" s="11">
        <f t="shared" si="3"/>
        <v>0</v>
      </c>
      <c r="T54" s="11">
        <f t="shared" si="4"/>
        <v>0</v>
      </c>
      <c r="U54" s="11">
        <f t="shared" si="5"/>
        <v>0</v>
      </c>
      <c r="V54" s="14">
        <f t="shared" si="6"/>
        <v>0</v>
      </c>
    </row>
    <row r="55" spans="1:22" x14ac:dyDescent="0.25">
      <c r="A55" s="50">
        <f>IF('Common Application'!$I$65=E55,'Common Application'!$J$65,0)</f>
        <v>0</v>
      </c>
      <c r="B55" s="27">
        <f>IF('Common Application'!$I$66=E55,'Common Application'!$J$66,0)</f>
        <v>0</v>
      </c>
      <c r="C55" s="15">
        <f>IF('Common Application'!$I$67=E55,'Common Application'!$J$67,0)</f>
        <v>0</v>
      </c>
      <c r="D55" s="16">
        <f t="shared" si="0"/>
        <v>0</v>
      </c>
      <c r="E55" s="5" t="s">
        <v>216</v>
      </c>
      <c r="F55" s="17">
        <v>46</v>
      </c>
      <c r="G55" s="10">
        <v>1.3</v>
      </c>
      <c r="H55" s="8" t="s">
        <v>217</v>
      </c>
      <c r="I55" s="9">
        <v>0.47</v>
      </c>
      <c r="J55" s="9">
        <v>0.5</v>
      </c>
      <c r="K55" s="9">
        <v>0.03</v>
      </c>
      <c r="L55" s="9">
        <v>0</v>
      </c>
      <c r="M55" s="10">
        <f t="shared" si="1"/>
        <v>0</v>
      </c>
      <c r="N55" s="118" t="s">
        <v>197</v>
      </c>
      <c r="O55" s="12">
        <v>92</v>
      </c>
      <c r="P55" s="8" t="s">
        <v>218</v>
      </c>
      <c r="Q55" s="10">
        <v>7.3</v>
      </c>
      <c r="R55" s="13">
        <f t="shared" si="2"/>
        <v>0</v>
      </c>
      <c r="S55" s="11">
        <f t="shared" si="3"/>
        <v>0</v>
      </c>
      <c r="T55" s="11">
        <f t="shared" si="4"/>
        <v>0</v>
      </c>
      <c r="U55" s="11">
        <f t="shared" si="5"/>
        <v>0</v>
      </c>
      <c r="V55" s="14">
        <f t="shared" si="6"/>
        <v>0</v>
      </c>
    </row>
    <row r="56" spans="1:22" x14ac:dyDescent="0.25">
      <c r="A56" s="50">
        <f>IF('Common Application'!$I$65=E56,'Common Application'!$J$65,0)</f>
        <v>0</v>
      </c>
      <c r="B56" s="27">
        <f>IF('Common Application'!$I$66=E56,'Common Application'!$J$66,0)</f>
        <v>0</v>
      </c>
      <c r="C56" s="15">
        <f>IF('Common Application'!$I$67=E56,'Common Application'!$J$67,0)</f>
        <v>0</v>
      </c>
      <c r="D56" s="16">
        <f t="shared" si="0"/>
        <v>0</v>
      </c>
      <c r="E56" s="5" t="s">
        <v>219</v>
      </c>
      <c r="F56" s="17">
        <v>124</v>
      </c>
      <c r="G56" s="10">
        <v>1</v>
      </c>
      <c r="H56" s="8" t="s">
        <v>220</v>
      </c>
      <c r="I56" s="9">
        <v>0.6</v>
      </c>
      <c r="J56" s="9">
        <v>0.35</v>
      </c>
      <c r="K56" s="9">
        <v>0.05</v>
      </c>
      <c r="L56" s="9">
        <v>0</v>
      </c>
      <c r="M56" s="10">
        <f t="shared" si="1"/>
        <v>0</v>
      </c>
      <c r="N56" s="118" t="s">
        <v>199</v>
      </c>
      <c r="O56" s="12">
        <v>57</v>
      </c>
      <c r="P56" s="8" t="s">
        <v>221</v>
      </c>
      <c r="Q56" s="10">
        <v>60.2</v>
      </c>
      <c r="R56" s="13">
        <f t="shared" si="2"/>
        <v>0</v>
      </c>
      <c r="S56" s="11">
        <f t="shared" si="3"/>
        <v>0</v>
      </c>
      <c r="T56" s="11">
        <f t="shared" si="4"/>
        <v>0</v>
      </c>
      <c r="U56" s="11">
        <f t="shared" si="5"/>
        <v>0</v>
      </c>
      <c r="V56" s="14">
        <f t="shared" si="6"/>
        <v>0</v>
      </c>
    </row>
    <row r="57" spans="1:22" x14ac:dyDescent="0.25">
      <c r="A57" s="50">
        <f>IF('Common Application'!$I$65=E57,'Common Application'!$J$65,0)</f>
        <v>0.95</v>
      </c>
      <c r="B57" s="27">
        <f>IF('Common Application'!$I$66=E57,'Common Application'!$J$66,0)</f>
        <v>0</v>
      </c>
      <c r="C57" s="15">
        <f>IF('Common Application'!$I$67=E57,'Common Application'!$J$67,0)</f>
        <v>0</v>
      </c>
      <c r="D57" s="16">
        <f t="shared" si="0"/>
        <v>0.95</v>
      </c>
      <c r="E57" s="5" t="s">
        <v>29</v>
      </c>
      <c r="F57" s="17">
        <v>79</v>
      </c>
      <c r="G57" s="10">
        <v>0.7</v>
      </c>
      <c r="H57" s="8" t="s">
        <v>220</v>
      </c>
      <c r="I57" s="9">
        <v>0.6</v>
      </c>
      <c r="J57" s="9">
        <v>0.35</v>
      </c>
      <c r="K57" s="9">
        <v>0.05</v>
      </c>
      <c r="L57" s="9">
        <v>0</v>
      </c>
      <c r="M57" s="10">
        <f t="shared" si="1"/>
        <v>0</v>
      </c>
      <c r="N57" s="118" t="s">
        <v>222</v>
      </c>
      <c r="O57" s="53">
        <v>56</v>
      </c>
      <c r="P57" s="8" t="s">
        <v>223</v>
      </c>
      <c r="Q57" s="10">
        <v>42</v>
      </c>
      <c r="R57" s="13">
        <f t="shared" si="2"/>
        <v>0</v>
      </c>
      <c r="S57" s="11">
        <f t="shared" si="3"/>
        <v>75.05</v>
      </c>
      <c r="T57" s="11">
        <f t="shared" si="4"/>
        <v>39.9</v>
      </c>
      <c r="U57" s="11">
        <f t="shared" si="5"/>
        <v>53.199999999999996</v>
      </c>
      <c r="V57" s="14">
        <f t="shared" si="6"/>
        <v>0.66499999999999992</v>
      </c>
    </row>
    <row r="58" spans="1:22" x14ac:dyDescent="0.25">
      <c r="A58" s="54">
        <f>IF('Common Application'!$I$65=E58,'Common Application'!$J$65,0)</f>
        <v>0</v>
      </c>
      <c r="B58" s="55">
        <f>IF('Common Application'!$I$66=E58,'Common Application'!$J$66,0)</f>
        <v>0</v>
      </c>
      <c r="C58" s="56">
        <f>IF('Common Application'!$I$67=E58,'Common Application'!$J$67,0)</f>
        <v>0</v>
      </c>
      <c r="D58" s="57">
        <f t="shared" si="0"/>
        <v>0</v>
      </c>
      <c r="E58" s="58" t="s">
        <v>224</v>
      </c>
      <c r="F58" s="59">
        <v>37.5</v>
      </c>
      <c r="G58" s="60">
        <v>0.7</v>
      </c>
      <c r="H58" s="61" t="s">
        <v>225</v>
      </c>
      <c r="I58" s="62"/>
      <c r="J58" s="62"/>
      <c r="K58" s="62"/>
      <c r="L58" s="62"/>
      <c r="M58" s="60"/>
      <c r="N58" s="119" t="s">
        <v>226</v>
      </c>
      <c r="O58" s="64">
        <v>55</v>
      </c>
      <c r="P58" s="63" t="s">
        <v>226</v>
      </c>
      <c r="Q58" s="60"/>
      <c r="R58" s="65">
        <f t="shared" si="2"/>
        <v>0</v>
      </c>
      <c r="S58" s="66">
        <f t="shared" si="3"/>
        <v>0</v>
      </c>
      <c r="T58" s="66">
        <f t="shared" si="4"/>
        <v>0</v>
      </c>
      <c r="U58" s="66">
        <f t="shared" si="5"/>
        <v>0</v>
      </c>
      <c r="V58" s="67">
        <f t="shared" si="6"/>
        <v>0</v>
      </c>
    </row>
    <row r="59" spans="1:22" x14ac:dyDescent="0.25">
      <c r="A59" s="50">
        <f>IF('Common Application'!$I$65=E59,'Common Application'!$J$65,0)</f>
        <v>0</v>
      </c>
      <c r="B59" s="27">
        <f>IF('Common Application'!$I$66=E59,'Common Application'!$J$66,0)</f>
        <v>0</v>
      </c>
      <c r="C59" s="15">
        <f>IF('Common Application'!$I$67=E59,'Common Application'!$J$67,0)</f>
        <v>0</v>
      </c>
      <c r="D59" s="16">
        <f t="shared" si="0"/>
        <v>0</v>
      </c>
      <c r="E59" s="5" t="s">
        <v>227</v>
      </c>
      <c r="F59" s="17">
        <v>47</v>
      </c>
      <c r="G59" s="10">
        <v>1.5</v>
      </c>
      <c r="H59" s="8" t="s">
        <v>228</v>
      </c>
      <c r="I59" s="9">
        <v>0.77</v>
      </c>
      <c r="J59" s="9">
        <v>0.2</v>
      </c>
      <c r="K59" s="9">
        <v>0.02</v>
      </c>
      <c r="L59" s="9">
        <v>0</v>
      </c>
      <c r="M59" s="10">
        <f t="shared" ref="M59:M66" si="7">(F59*I59*$E$69)+(F59*J59*$F$69)+(F59*K59*$G$69)+(F59*L59*$H$69)</f>
        <v>0</v>
      </c>
      <c r="N59" s="117" t="s">
        <v>172</v>
      </c>
      <c r="O59" s="12">
        <v>67</v>
      </c>
      <c r="P59" s="8" t="s">
        <v>229</v>
      </c>
      <c r="Q59" s="10">
        <v>8</v>
      </c>
      <c r="R59" s="13">
        <f t="shared" si="2"/>
        <v>0</v>
      </c>
      <c r="S59" s="11">
        <f t="shared" si="3"/>
        <v>0</v>
      </c>
      <c r="T59" s="11">
        <f t="shared" si="4"/>
        <v>0</v>
      </c>
      <c r="U59" s="11">
        <f t="shared" si="5"/>
        <v>0</v>
      </c>
      <c r="V59" s="14">
        <f t="shared" si="6"/>
        <v>0</v>
      </c>
    </row>
    <row r="60" spans="1:22" x14ac:dyDescent="0.25">
      <c r="A60" s="50">
        <f>IF('Common Application'!$I$65=E60,'Common Application'!$J$65,0)</f>
        <v>0</v>
      </c>
      <c r="B60" s="27">
        <f>IF('Common Application'!$I$66=E60,'Common Application'!$J$66,0)</f>
        <v>0</v>
      </c>
      <c r="C60" s="15">
        <f>IF('Common Application'!$I$67=E60,'Common Application'!$J$67,0)</f>
        <v>0</v>
      </c>
      <c r="D60" s="16">
        <f t="shared" si="0"/>
        <v>0</v>
      </c>
      <c r="E60" s="5" t="s">
        <v>230</v>
      </c>
      <c r="F60" s="17">
        <v>192</v>
      </c>
      <c r="G60" s="10">
        <v>1.5</v>
      </c>
      <c r="H60" s="8" t="s">
        <v>228</v>
      </c>
      <c r="I60" s="9">
        <v>0.77</v>
      </c>
      <c r="J60" s="9">
        <v>0.2</v>
      </c>
      <c r="K60" s="9">
        <v>0.02</v>
      </c>
      <c r="L60" s="9">
        <v>0</v>
      </c>
      <c r="M60" s="10">
        <f t="shared" si="7"/>
        <v>0</v>
      </c>
      <c r="N60" s="117" t="s">
        <v>172</v>
      </c>
      <c r="O60" s="12">
        <v>67</v>
      </c>
      <c r="P60" s="8" t="s">
        <v>229</v>
      </c>
      <c r="Q60" s="10">
        <v>8</v>
      </c>
      <c r="R60" s="13">
        <f t="shared" si="2"/>
        <v>0</v>
      </c>
      <c r="S60" s="11">
        <f t="shared" si="3"/>
        <v>0</v>
      </c>
      <c r="T60" s="11">
        <f t="shared" si="4"/>
        <v>0</v>
      </c>
      <c r="U60" s="11">
        <f t="shared" si="5"/>
        <v>0</v>
      </c>
      <c r="V60" s="14">
        <f t="shared" si="6"/>
        <v>0</v>
      </c>
    </row>
    <row r="61" spans="1:22" x14ac:dyDescent="0.25">
      <c r="A61" s="50">
        <f>IF('Common Application'!$I$65=E61,'Common Application'!$J$65,0)</f>
        <v>0</v>
      </c>
      <c r="B61" s="27">
        <f>IF('Common Application'!$I$66=E61,'Common Application'!$J$66,0)</f>
        <v>0</v>
      </c>
      <c r="C61" s="15">
        <f>IF('Common Application'!$I$67=E61,'Common Application'!$J$67,0)</f>
        <v>0</v>
      </c>
      <c r="D61" s="16">
        <f t="shared" si="0"/>
        <v>0</v>
      </c>
      <c r="E61" s="5" t="s">
        <v>36</v>
      </c>
      <c r="F61" s="17">
        <v>72</v>
      </c>
      <c r="G61" s="10">
        <v>1.5</v>
      </c>
      <c r="H61" s="8" t="s">
        <v>228</v>
      </c>
      <c r="I61" s="9">
        <v>0.77</v>
      </c>
      <c r="J61" s="9">
        <v>0.2</v>
      </c>
      <c r="K61" s="9">
        <v>0.02</v>
      </c>
      <c r="L61" s="9">
        <v>0</v>
      </c>
      <c r="M61" s="10">
        <f t="shared" si="7"/>
        <v>0</v>
      </c>
      <c r="N61" s="117" t="s">
        <v>172</v>
      </c>
      <c r="O61" s="12">
        <v>67</v>
      </c>
      <c r="P61" s="8" t="s">
        <v>229</v>
      </c>
      <c r="Q61" s="10">
        <v>8</v>
      </c>
      <c r="R61" s="13">
        <f t="shared" si="2"/>
        <v>0</v>
      </c>
      <c r="S61" s="11">
        <f t="shared" si="3"/>
        <v>0</v>
      </c>
      <c r="T61" s="11">
        <f t="shared" si="4"/>
        <v>0</v>
      </c>
      <c r="U61" s="11">
        <f t="shared" si="5"/>
        <v>0</v>
      </c>
      <c r="V61" s="14">
        <f t="shared" si="6"/>
        <v>0</v>
      </c>
    </row>
    <row r="62" spans="1:22" x14ac:dyDescent="0.25">
      <c r="A62" s="50">
        <f>IF('Common Application'!$I$65=E62,'Common Application'!$J$65,0)</f>
        <v>0</v>
      </c>
      <c r="B62" s="27">
        <f>IF('Common Application'!$I$66=E62,'Common Application'!$J$66,0)</f>
        <v>0</v>
      </c>
      <c r="C62" s="15">
        <f>IF('Common Application'!$I$67=E62,'Common Application'!$J$67,0)</f>
        <v>0</v>
      </c>
      <c r="D62" s="16">
        <f t="shared" si="0"/>
        <v>0</v>
      </c>
      <c r="E62" s="5" t="s">
        <v>231</v>
      </c>
      <c r="F62" s="17">
        <v>107</v>
      </c>
      <c r="G62" s="10">
        <v>1.5</v>
      </c>
      <c r="H62" s="8" t="s">
        <v>232</v>
      </c>
      <c r="I62" s="9">
        <v>0.66</v>
      </c>
      <c r="J62" s="9">
        <v>0.34</v>
      </c>
      <c r="K62" s="9">
        <v>0</v>
      </c>
      <c r="L62" s="9">
        <v>0</v>
      </c>
      <c r="M62" s="10">
        <f t="shared" si="7"/>
        <v>0</v>
      </c>
      <c r="N62" s="117" t="s">
        <v>172</v>
      </c>
      <c r="O62" s="12">
        <v>67</v>
      </c>
      <c r="P62" s="8" t="s">
        <v>232</v>
      </c>
      <c r="Q62" s="10">
        <v>11.8</v>
      </c>
      <c r="R62" s="13">
        <f t="shared" si="2"/>
        <v>0</v>
      </c>
      <c r="S62" s="11">
        <f t="shared" si="3"/>
        <v>0</v>
      </c>
      <c r="T62" s="11">
        <f t="shared" si="4"/>
        <v>0</v>
      </c>
      <c r="U62" s="11">
        <f t="shared" si="5"/>
        <v>0</v>
      </c>
      <c r="V62" s="14">
        <f t="shared" si="6"/>
        <v>0</v>
      </c>
    </row>
    <row r="63" spans="1:22" x14ac:dyDescent="0.25">
      <c r="A63" s="50">
        <f>IF('Common Application'!$I$65=E63,'Common Application'!$J$65,0)</f>
        <v>0</v>
      </c>
      <c r="B63" s="27">
        <f>IF('Common Application'!$I$66=E63,'Common Application'!$J$66,0)</f>
        <v>0</v>
      </c>
      <c r="C63" s="15">
        <f>IF('Common Application'!$I$67=E63,'Common Application'!$J$67,0)</f>
        <v>0</v>
      </c>
      <c r="D63" s="16">
        <f t="shared" si="0"/>
        <v>0</v>
      </c>
      <c r="E63" s="5" t="s">
        <v>233</v>
      </c>
      <c r="F63" s="17">
        <v>31</v>
      </c>
      <c r="G63" s="10">
        <v>0.8</v>
      </c>
      <c r="H63" s="8" t="s">
        <v>234</v>
      </c>
      <c r="I63" s="9">
        <v>0.66</v>
      </c>
      <c r="J63" s="9">
        <v>0.32</v>
      </c>
      <c r="K63" s="9">
        <v>0</v>
      </c>
      <c r="L63" s="9">
        <v>0</v>
      </c>
      <c r="M63" s="10">
        <f t="shared" si="7"/>
        <v>0</v>
      </c>
      <c r="N63" s="117" t="s">
        <v>172</v>
      </c>
      <c r="O63" s="12">
        <v>67</v>
      </c>
      <c r="P63" s="8" t="s">
        <v>234</v>
      </c>
      <c r="Q63" s="10">
        <v>3.4</v>
      </c>
      <c r="R63" s="13">
        <f t="shared" si="2"/>
        <v>0</v>
      </c>
      <c r="S63" s="11">
        <f t="shared" si="3"/>
        <v>0</v>
      </c>
      <c r="T63" s="11">
        <f t="shared" si="4"/>
        <v>0</v>
      </c>
      <c r="U63" s="11">
        <f t="shared" si="5"/>
        <v>0</v>
      </c>
      <c r="V63" s="14">
        <f t="shared" si="6"/>
        <v>0</v>
      </c>
    </row>
    <row r="64" spans="1:22" x14ac:dyDescent="0.25">
      <c r="A64" s="50">
        <f>IF('Common Application'!$I$65=E64,'Common Application'!$J$65,0)</f>
        <v>0</v>
      </c>
      <c r="B64" s="27">
        <f>IF('Common Application'!$I$66=E64,'Common Application'!$J$66,0)</f>
        <v>0</v>
      </c>
      <c r="C64" s="15">
        <f>IF('Common Application'!$I$67=E64,'Common Application'!$J$67,0)</f>
        <v>0</v>
      </c>
      <c r="D64" s="16">
        <f t="shared" si="0"/>
        <v>0</v>
      </c>
      <c r="E64" s="5" t="s">
        <v>235</v>
      </c>
      <c r="F64" s="17">
        <v>77</v>
      </c>
      <c r="G64" s="10">
        <v>1.4</v>
      </c>
      <c r="H64" s="8" t="s">
        <v>236</v>
      </c>
      <c r="I64" s="9">
        <v>0.47</v>
      </c>
      <c r="J64" s="9">
        <v>0.45</v>
      </c>
      <c r="K64" s="9">
        <v>0.06</v>
      </c>
      <c r="L64" s="9">
        <v>0</v>
      </c>
      <c r="M64" s="10">
        <f t="shared" si="7"/>
        <v>0</v>
      </c>
      <c r="N64" s="117" t="s">
        <v>172</v>
      </c>
      <c r="O64" s="12">
        <v>67</v>
      </c>
      <c r="P64" s="8" t="s">
        <v>237</v>
      </c>
      <c r="Q64" s="10">
        <v>12.6</v>
      </c>
      <c r="R64" s="13">
        <f t="shared" si="2"/>
        <v>0</v>
      </c>
      <c r="S64" s="11">
        <f t="shared" si="3"/>
        <v>0</v>
      </c>
      <c r="T64" s="11">
        <f t="shared" si="4"/>
        <v>0</v>
      </c>
      <c r="U64" s="11">
        <f t="shared" si="5"/>
        <v>0</v>
      </c>
      <c r="V64" s="14">
        <f t="shared" si="6"/>
        <v>0</v>
      </c>
    </row>
    <row r="65" spans="1:22" x14ac:dyDescent="0.25">
      <c r="A65" s="50">
        <f>IF('Common Application'!$I$65=E65,'Common Application'!$J$65,0)</f>
        <v>0</v>
      </c>
      <c r="B65" s="27">
        <f>IF('Common Application'!$I$66=E65,'Common Application'!$J$66,0)</f>
        <v>0</v>
      </c>
      <c r="C65" s="15">
        <f>IF('Common Application'!$I$67=E65,'Common Application'!$J$67,0)</f>
        <v>0</v>
      </c>
      <c r="D65" s="16">
        <f t="shared" si="0"/>
        <v>0</v>
      </c>
      <c r="E65" s="5" t="s">
        <v>238</v>
      </c>
      <c r="F65" s="17">
        <v>26</v>
      </c>
      <c r="G65" s="10">
        <v>0.8</v>
      </c>
      <c r="H65" s="8" t="s">
        <v>234</v>
      </c>
      <c r="I65" s="9">
        <v>0.66</v>
      </c>
      <c r="J65" s="9">
        <v>0.32</v>
      </c>
      <c r="K65" s="9">
        <v>0</v>
      </c>
      <c r="L65" s="9">
        <v>0</v>
      </c>
      <c r="M65" s="10">
        <f t="shared" si="7"/>
        <v>0</v>
      </c>
      <c r="N65" s="117" t="s">
        <v>172</v>
      </c>
      <c r="O65" s="12">
        <v>67</v>
      </c>
      <c r="P65" s="8" t="s">
        <v>234</v>
      </c>
      <c r="Q65" s="10">
        <v>3.4</v>
      </c>
      <c r="R65" s="13">
        <f t="shared" si="2"/>
        <v>0</v>
      </c>
      <c r="S65" s="11">
        <f t="shared" si="3"/>
        <v>0</v>
      </c>
      <c r="T65" s="11">
        <f t="shared" si="4"/>
        <v>0</v>
      </c>
      <c r="U65" s="11">
        <f t="shared" si="5"/>
        <v>0</v>
      </c>
      <c r="V65" s="14">
        <f t="shared" si="6"/>
        <v>0</v>
      </c>
    </row>
    <row r="66" spans="1:22" ht="15.75" thickBot="1" x14ac:dyDescent="0.3">
      <c r="A66" s="51">
        <f>IF('Common Application'!$I$65=E66,'Common Application'!$J$65,0)</f>
        <v>0</v>
      </c>
      <c r="B66" s="38">
        <f>IF('Common Application'!$I$66=E66,'Common Application'!$J$66,0)</f>
        <v>0</v>
      </c>
      <c r="C66" s="52">
        <f>IF('Common Application'!$I$67=E66,'Common Application'!$J$67,0)</f>
        <v>0</v>
      </c>
      <c r="D66" s="39">
        <f t="shared" si="0"/>
        <v>0</v>
      </c>
      <c r="E66" s="40" t="s">
        <v>239</v>
      </c>
      <c r="F66" s="41">
        <v>127</v>
      </c>
      <c r="G66" s="42">
        <v>0.8</v>
      </c>
      <c r="H66" s="43" t="s">
        <v>234</v>
      </c>
      <c r="I66" s="44">
        <v>0.66</v>
      </c>
      <c r="J66" s="44">
        <v>0.32</v>
      </c>
      <c r="K66" s="44">
        <v>0</v>
      </c>
      <c r="L66" s="44">
        <v>0</v>
      </c>
      <c r="M66" s="45">
        <f t="shared" si="7"/>
        <v>0</v>
      </c>
      <c r="N66" s="120" t="s">
        <v>172</v>
      </c>
      <c r="O66" s="47">
        <v>67</v>
      </c>
      <c r="P66" s="43" t="s">
        <v>234</v>
      </c>
      <c r="Q66" s="45">
        <v>3.4</v>
      </c>
      <c r="R66" s="48">
        <f t="shared" si="2"/>
        <v>0</v>
      </c>
      <c r="S66" s="46">
        <f t="shared" si="3"/>
        <v>0</v>
      </c>
      <c r="T66" s="46">
        <f t="shared" si="4"/>
        <v>0</v>
      </c>
      <c r="U66" s="46">
        <f t="shared" si="5"/>
        <v>0</v>
      </c>
      <c r="V66" s="49">
        <f t="shared" si="6"/>
        <v>0</v>
      </c>
    </row>
    <row r="67" spans="1:22" ht="16.5" thickTop="1" thickBot="1" x14ac:dyDescent="0.3">
      <c r="A67" s="18"/>
      <c r="B67" s="18"/>
      <c r="C67" s="19" t="s">
        <v>240</v>
      </c>
      <c r="D67" s="20">
        <f>SUM(D27:D66)</f>
        <v>1</v>
      </c>
      <c r="E67" s="18"/>
      <c r="F67" s="18"/>
      <c r="G67" s="18"/>
      <c r="H67" s="18"/>
      <c r="I67" s="18"/>
      <c r="J67" s="18"/>
      <c r="K67" s="18"/>
      <c r="L67" s="18"/>
      <c r="M67" s="18"/>
      <c r="N67" s="121"/>
      <c r="O67" s="18"/>
      <c r="P67" s="18"/>
      <c r="Q67" s="35" t="s">
        <v>240</v>
      </c>
      <c r="R67" s="36">
        <f>SUM(R27:R66)</f>
        <v>0</v>
      </c>
      <c r="S67" s="36">
        <f>SUM(S27:S66)</f>
        <v>79.55</v>
      </c>
      <c r="T67" s="36">
        <f>SUM(T27:T66)</f>
        <v>40.629999999999995</v>
      </c>
      <c r="U67" s="36">
        <f>SUM(U27:U66)</f>
        <v>56.55</v>
      </c>
      <c r="V67" s="37">
        <f>SUM(V27:V66)</f>
        <v>0.71499999999999997</v>
      </c>
    </row>
    <row r="71" spans="1:22" x14ac:dyDescent="0.25">
      <c r="C71" s="128" t="s">
        <v>498</v>
      </c>
      <c r="D71" s="128"/>
      <c r="E71" s="128"/>
      <c r="H71" s="123" t="s">
        <v>483</v>
      </c>
      <c r="I71" s="124"/>
    </row>
    <row r="72" spans="1:22" x14ac:dyDescent="0.25">
      <c r="C72" s="125" t="s">
        <v>499</v>
      </c>
      <c r="D72" s="130" t="s">
        <v>500</v>
      </c>
      <c r="E72" s="125"/>
      <c r="H72" s="125" t="s">
        <v>484</v>
      </c>
      <c r="I72" s="126" t="s">
        <v>485</v>
      </c>
    </row>
    <row r="73" spans="1:22" x14ac:dyDescent="0.25">
      <c r="C73" s="127" t="s">
        <v>156</v>
      </c>
      <c r="D73" s="129">
        <v>0.11330763094921563</v>
      </c>
      <c r="E73" s="128"/>
      <c r="H73" s="127" t="s">
        <v>486</v>
      </c>
      <c r="I73" s="127">
        <v>1</v>
      </c>
    </row>
    <row r="74" spans="1:22" x14ac:dyDescent="0.25">
      <c r="C74" s="127" t="s">
        <v>501</v>
      </c>
      <c r="D74" s="129">
        <v>9.5049999999999996E-2</v>
      </c>
      <c r="E74" s="128"/>
      <c r="H74" s="127" t="s">
        <v>487</v>
      </c>
      <c r="I74" s="127">
        <v>1000</v>
      </c>
    </row>
    <row r="75" spans="1:22" x14ac:dyDescent="0.25">
      <c r="C75" s="127" t="s">
        <v>467</v>
      </c>
      <c r="D75" s="129">
        <v>5.3109999999999997E-2</v>
      </c>
      <c r="E75" s="128"/>
      <c r="H75" s="127" t="s">
        <v>488</v>
      </c>
      <c r="I75" s="127">
        <v>947.81700000000001</v>
      </c>
    </row>
    <row r="76" spans="1:22" x14ac:dyDescent="0.25">
      <c r="C76" s="127" t="s">
        <v>502</v>
      </c>
      <c r="D76" s="129">
        <v>6.4250000000000002E-2</v>
      </c>
      <c r="E76" s="128"/>
      <c r="H76" s="127" t="s">
        <v>476</v>
      </c>
      <c r="I76" s="127">
        <v>3.41214</v>
      </c>
    </row>
    <row r="77" spans="1:22" x14ac:dyDescent="0.25">
      <c r="C77" s="127" t="s">
        <v>503</v>
      </c>
      <c r="D77" s="129">
        <v>7.4209999999999998E-2</v>
      </c>
      <c r="E77" s="128"/>
      <c r="H77" s="127" t="s">
        <v>489</v>
      </c>
      <c r="I77" s="127">
        <v>3412.14</v>
      </c>
    </row>
    <row r="78" spans="1:22" x14ac:dyDescent="0.25">
      <c r="C78" s="127" t="s">
        <v>479</v>
      </c>
      <c r="D78" s="129">
        <v>6.6400000000000001E-2</v>
      </c>
      <c r="E78" s="128"/>
      <c r="H78" s="127" t="s">
        <v>490</v>
      </c>
      <c r="I78" s="127">
        <v>1.194</v>
      </c>
    </row>
    <row r="79" spans="1:22" x14ac:dyDescent="0.25">
      <c r="C79" s="127" t="s">
        <v>478</v>
      </c>
      <c r="D79" s="129">
        <v>5.2700000000000004E-2</v>
      </c>
      <c r="E79" s="128"/>
      <c r="H79" s="127" t="s">
        <v>491</v>
      </c>
      <c r="I79" s="127">
        <v>1194</v>
      </c>
    </row>
    <row r="80" spans="1:22" x14ac:dyDescent="0.25">
      <c r="C80" s="127" t="s">
        <v>473</v>
      </c>
      <c r="D80" s="129">
        <v>7.3889999999999997E-2</v>
      </c>
      <c r="E80" s="128"/>
      <c r="H80" s="127" t="s">
        <v>492</v>
      </c>
      <c r="I80" s="127">
        <v>1194000</v>
      </c>
    </row>
    <row r="81" spans="3:9" x14ac:dyDescent="0.25">
      <c r="C81" s="127" t="s">
        <v>472</v>
      </c>
      <c r="D81" s="129">
        <v>4.931E-2</v>
      </c>
      <c r="E81" s="128"/>
      <c r="H81" s="127" t="s">
        <v>477</v>
      </c>
      <c r="I81" s="127">
        <v>100</v>
      </c>
    </row>
    <row r="82" spans="3:9" x14ac:dyDescent="0.25">
      <c r="H82" s="127" t="s">
        <v>493</v>
      </c>
      <c r="I82" s="127">
        <v>2.6320000000000001</v>
      </c>
    </row>
    <row r="83" spans="3:9" x14ac:dyDescent="0.25">
      <c r="H83" s="127" t="s">
        <v>471</v>
      </c>
      <c r="I83" s="127">
        <v>17480</v>
      </c>
    </row>
    <row r="84" spans="3:9" x14ac:dyDescent="0.25">
      <c r="H84" s="127" t="s">
        <v>494</v>
      </c>
      <c r="I84" s="127">
        <v>12</v>
      </c>
    </row>
    <row r="85" spans="3:9" x14ac:dyDescent="0.25">
      <c r="H85" s="127" t="s">
        <v>495</v>
      </c>
      <c r="I85" s="127">
        <v>1.026</v>
      </c>
    </row>
    <row r="86" spans="3:9" x14ac:dyDescent="0.25">
      <c r="H86" s="127" t="s">
        <v>496</v>
      </c>
      <c r="I86" s="127">
        <v>102.6</v>
      </c>
    </row>
    <row r="87" spans="3:9" x14ac:dyDescent="0.25">
      <c r="H87" s="127" t="s">
        <v>497</v>
      </c>
      <c r="I87" s="127">
        <v>1026</v>
      </c>
    </row>
    <row r="88" spans="3:9" x14ac:dyDescent="0.25">
      <c r="H88" s="127" t="s">
        <v>474</v>
      </c>
      <c r="I88" s="127">
        <v>36.302999999999997</v>
      </c>
    </row>
  </sheetData>
  <sortState xmlns:xlrd2="http://schemas.microsoft.com/office/spreadsheetml/2017/richdata2" ref="E2:E11">
    <sortCondition ref="E2:E11"/>
  </sortState>
  <mergeCells count="29">
    <mergeCell ref="Q24:Q26"/>
    <mergeCell ref="A20:C23"/>
    <mergeCell ref="E20:G23"/>
    <mergeCell ref="H20:M20"/>
    <mergeCell ref="J24:J26"/>
    <mergeCell ref="K24:K26"/>
    <mergeCell ref="L24:L26"/>
    <mergeCell ref="N20:O23"/>
    <mergeCell ref="P20:Q23"/>
    <mergeCell ref="I24:I26"/>
    <mergeCell ref="F24:F26"/>
    <mergeCell ref="G24:G26"/>
    <mergeCell ref="H24:H26"/>
    <mergeCell ref="R24:R26"/>
    <mergeCell ref="R20:V23"/>
    <mergeCell ref="H21:M22"/>
    <mergeCell ref="A24:A26"/>
    <mergeCell ref="B24:B26"/>
    <mergeCell ref="C24:C26"/>
    <mergeCell ref="D24:D26"/>
    <mergeCell ref="E24:E26"/>
    <mergeCell ref="S24:S26"/>
    <mergeCell ref="T24:T26"/>
    <mergeCell ref="U24:U26"/>
    <mergeCell ref="V24:V26"/>
    <mergeCell ref="M24:M26"/>
    <mergeCell ref="N24:N26"/>
    <mergeCell ref="O24:O26"/>
    <mergeCell ref="P24:P26"/>
  </mergeCells>
  <dataValidations count="1">
    <dataValidation allowBlank="1" showErrorMessage="1" sqref="A27:D66"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A55"/>
  <sheetViews>
    <sheetView topLeftCell="A31" zoomScaleNormal="100" workbookViewId="0">
      <selection activeCell="D25" sqref="D25"/>
    </sheetView>
  </sheetViews>
  <sheetFormatPr defaultColWidth="8.85546875" defaultRowHeight="12.75" x14ac:dyDescent="0.25"/>
  <cols>
    <col min="1" max="1" width="8.85546875" style="21"/>
    <col min="2" max="2" width="4.140625" style="23" customWidth="1"/>
    <col min="3" max="3" width="66.85546875" style="23" customWidth="1"/>
    <col min="4" max="4" width="18.85546875" style="24" customWidth="1"/>
    <col min="5" max="5" width="18.85546875" style="25" customWidth="1"/>
    <col min="6" max="6" width="71.85546875" style="26" customWidth="1"/>
    <col min="7" max="27" width="8.85546875" style="21"/>
    <col min="28" max="31" width="8.85546875" style="23"/>
    <col min="32" max="32" width="26.140625" style="23" customWidth="1"/>
    <col min="33" max="34" width="8.85546875" style="23"/>
    <col min="35" max="35" width="16.85546875" style="23" customWidth="1"/>
    <col min="36" max="39" width="8.85546875" style="23"/>
    <col min="40" max="40" width="10.140625" style="23" customWidth="1"/>
    <col min="41" max="41" width="22.42578125" style="23" customWidth="1"/>
    <col min="42" max="42" width="8.85546875" style="23"/>
    <col min="43" max="43" width="21" style="23" customWidth="1"/>
    <col min="44" max="44" width="8.85546875" style="23"/>
    <col min="45" max="46" width="10.140625" style="23" customWidth="1"/>
    <col min="47" max="47" width="10.42578125" style="23" customWidth="1"/>
    <col min="48" max="48" width="8.85546875" style="23"/>
    <col min="49" max="49" width="9.85546875" style="23" customWidth="1"/>
    <col min="50" max="16384" width="8.85546875" style="23"/>
  </cols>
  <sheetData>
    <row r="1" spans="2:6" ht="43.5" customHeight="1" thickBot="1" x14ac:dyDescent="0.3">
      <c r="B1" s="33" t="s">
        <v>241</v>
      </c>
      <c r="C1" s="28"/>
      <c r="D1" s="29"/>
      <c r="E1" s="28"/>
      <c r="F1" s="32"/>
    </row>
    <row r="2" spans="2:6" x14ac:dyDescent="0.25">
      <c r="B2" s="75" t="s">
        <v>242</v>
      </c>
      <c r="C2" s="76"/>
      <c r="D2" s="76"/>
      <c r="E2" s="76"/>
      <c r="F2" s="77"/>
    </row>
    <row r="3" spans="2:6" ht="15.6" customHeight="1" x14ac:dyDescent="0.25">
      <c r="B3" s="78"/>
      <c r="C3" s="79" t="s">
        <v>243</v>
      </c>
      <c r="D3" s="79" t="s">
        <v>244</v>
      </c>
      <c r="E3" s="79"/>
      <c r="F3" s="80" t="s">
        <v>245</v>
      </c>
    </row>
    <row r="4" spans="2:6" x14ac:dyDescent="0.25">
      <c r="B4" s="78"/>
      <c r="C4" s="79" t="s">
        <v>246</v>
      </c>
      <c r="D4" s="79" t="s">
        <v>244</v>
      </c>
      <c r="E4" s="79"/>
      <c r="F4" s="81"/>
    </row>
    <row r="5" spans="2:6" x14ac:dyDescent="0.25">
      <c r="B5" s="78"/>
      <c r="C5" s="79" t="s">
        <v>247</v>
      </c>
      <c r="D5" s="79"/>
      <c r="E5" s="79"/>
      <c r="F5" s="82" t="s">
        <v>248</v>
      </c>
    </row>
    <row r="6" spans="2:6" x14ac:dyDescent="0.25">
      <c r="B6" s="78"/>
      <c r="C6" s="79" t="s">
        <v>249</v>
      </c>
      <c r="D6" s="79"/>
      <c r="E6" s="79"/>
      <c r="F6" s="81"/>
    </row>
    <row r="7" spans="2:6" x14ac:dyDescent="0.25">
      <c r="B7" s="78"/>
      <c r="C7" s="79" t="s">
        <v>250</v>
      </c>
      <c r="D7" s="79"/>
      <c r="E7" s="79"/>
      <c r="F7" s="81"/>
    </row>
    <row r="8" spans="2:6" x14ac:dyDescent="0.25">
      <c r="B8" s="78"/>
      <c r="C8" s="79" t="s">
        <v>251</v>
      </c>
      <c r="D8" s="79"/>
      <c r="E8" s="79"/>
      <c r="F8" s="81"/>
    </row>
    <row r="9" spans="2:6" x14ac:dyDescent="0.25">
      <c r="B9" s="78"/>
      <c r="C9" s="79" t="s">
        <v>252</v>
      </c>
      <c r="D9" s="79"/>
      <c r="E9" s="79"/>
      <c r="F9" s="81"/>
    </row>
    <row r="10" spans="2:6" x14ac:dyDescent="0.25">
      <c r="B10" s="78"/>
      <c r="C10" s="79" t="s">
        <v>74</v>
      </c>
      <c r="D10" s="83" t="s">
        <v>253</v>
      </c>
      <c r="E10" s="83"/>
      <c r="F10" s="81"/>
    </row>
    <row r="11" spans="2:6" x14ac:dyDescent="0.25">
      <c r="B11" s="78"/>
      <c r="C11" s="79" t="s">
        <v>254</v>
      </c>
      <c r="D11" s="83" t="s">
        <v>253</v>
      </c>
      <c r="E11" s="83"/>
      <c r="F11" s="81"/>
    </row>
    <row r="12" spans="2:6" x14ac:dyDescent="0.25">
      <c r="B12" s="78"/>
      <c r="C12" s="79" t="s">
        <v>255</v>
      </c>
      <c r="D12" s="83" t="s">
        <v>253</v>
      </c>
      <c r="E12" s="83"/>
      <c r="F12" s="81"/>
    </row>
    <row r="13" spans="2:6" x14ac:dyDescent="0.25">
      <c r="B13" s="78"/>
      <c r="C13" s="79" t="s">
        <v>256</v>
      </c>
      <c r="D13" s="83" t="s">
        <v>257</v>
      </c>
      <c r="E13" s="83"/>
      <c r="F13" s="81"/>
    </row>
    <row r="14" spans="2:6" x14ac:dyDescent="0.25">
      <c r="B14" s="78"/>
      <c r="C14" s="79" t="s">
        <v>258</v>
      </c>
      <c r="D14" s="83" t="s">
        <v>259</v>
      </c>
      <c r="E14" s="83"/>
      <c r="F14" s="81"/>
    </row>
    <row r="15" spans="2:6" x14ac:dyDescent="0.25">
      <c r="B15" s="78"/>
      <c r="C15" s="79" t="s">
        <v>260</v>
      </c>
      <c r="D15" s="83" t="s">
        <v>259</v>
      </c>
      <c r="E15" s="83"/>
      <c r="F15" s="81"/>
    </row>
    <row r="16" spans="2:6" x14ac:dyDescent="0.25">
      <c r="B16" s="78"/>
      <c r="C16" s="79" t="s">
        <v>261</v>
      </c>
      <c r="D16" s="83"/>
      <c r="E16" s="83"/>
      <c r="F16" s="81"/>
    </row>
    <row r="17" spans="2:6" x14ac:dyDescent="0.25">
      <c r="B17" s="78"/>
      <c r="C17" s="79" t="s">
        <v>262</v>
      </c>
      <c r="D17" s="83" t="s">
        <v>263</v>
      </c>
      <c r="E17" s="83"/>
      <c r="F17" s="81"/>
    </row>
    <row r="18" spans="2:6" x14ac:dyDescent="0.25">
      <c r="B18" s="78"/>
      <c r="C18" s="79" t="s">
        <v>264</v>
      </c>
      <c r="D18" s="79"/>
      <c r="E18" s="79"/>
      <c r="F18" s="81"/>
    </row>
    <row r="19" spans="2:6" x14ac:dyDescent="0.25">
      <c r="B19" s="78"/>
      <c r="C19" s="79" t="s">
        <v>265</v>
      </c>
      <c r="D19" s="79"/>
      <c r="E19" s="79"/>
      <c r="F19" s="81"/>
    </row>
    <row r="20" spans="2:6" x14ac:dyDescent="0.25">
      <c r="B20" s="78"/>
      <c r="C20" s="79" t="s">
        <v>266</v>
      </c>
      <c r="D20" s="79"/>
      <c r="E20" s="79"/>
      <c r="F20" s="81"/>
    </row>
    <row r="21" spans="2:6" x14ac:dyDescent="0.25">
      <c r="B21" s="78"/>
      <c r="C21" s="79" t="s">
        <v>267</v>
      </c>
      <c r="D21" s="79"/>
      <c r="E21" s="79"/>
      <c r="F21" s="81"/>
    </row>
    <row r="22" spans="2:6" x14ac:dyDescent="0.25">
      <c r="B22" s="78"/>
      <c r="C22" s="79" t="s">
        <v>268</v>
      </c>
      <c r="D22" s="79"/>
      <c r="E22" s="79"/>
      <c r="F22" s="81"/>
    </row>
    <row r="23" spans="2:6" x14ac:dyDescent="0.25">
      <c r="B23" s="78"/>
      <c r="C23" s="79" t="s">
        <v>269</v>
      </c>
      <c r="D23" s="79"/>
      <c r="E23" s="79"/>
      <c r="F23" s="81"/>
    </row>
    <row r="24" spans="2:6" x14ac:dyDescent="0.25">
      <c r="B24" s="78"/>
      <c r="C24" s="79" t="s">
        <v>270</v>
      </c>
      <c r="D24" s="79"/>
      <c r="E24" s="79"/>
      <c r="F24" s="81"/>
    </row>
    <row r="25" spans="2:6" x14ac:dyDescent="0.25">
      <c r="B25" s="30"/>
      <c r="C25" s="28"/>
      <c r="D25" s="28"/>
      <c r="E25" s="28"/>
      <c r="F25" s="31"/>
    </row>
    <row r="26" spans="2:6" x14ac:dyDescent="0.25">
      <c r="B26" s="84" t="s">
        <v>271</v>
      </c>
      <c r="C26" s="85"/>
      <c r="D26" s="85"/>
      <c r="E26" s="85"/>
      <c r="F26" s="86"/>
    </row>
    <row r="27" spans="2:6" x14ac:dyDescent="0.25">
      <c r="B27" s="87"/>
      <c r="C27" s="85" t="s">
        <v>272</v>
      </c>
      <c r="D27" s="85"/>
      <c r="E27" s="85"/>
      <c r="F27" s="86"/>
    </row>
    <row r="28" spans="2:6" x14ac:dyDescent="0.25">
      <c r="B28" s="87"/>
      <c r="C28" s="85" t="s">
        <v>273</v>
      </c>
      <c r="D28" s="85"/>
      <c r="E28" s="85"/>
      <c r="F28" s="86"/>
    </row>
    <row r="29" spans="2:6" x14ac:dyDescent="0.25">
      <c r="B29" s="87"/>
      <c r="C29" s="85" t="s">
        <v>274</v>
      </c>
      <c r="D29" s="85"/>
      <c r="E29" s="85"/>
      <c r="F29" s="86"/>
    </row>
    <row r="30" spans="2:6" x14ac:dyDescent="0.25">
      <c r="B30" s="87"/>
      <c r="C30" s="85" t="s">
        <v>275</v>
      </c>
      <c r="D30" s="85"/>
      <c r="E30" s="85"/>
      <c r="F30" s="86"/>
    </row>
    <row r="31" spans="2:6" x14ac:dyDescent="0.25">
      <c r="B31" s="87"/>
      <c r="C31" s="85" t="s">
        <v>276</v>
      </c>
      <c r="D31" s="85"/>
      <c r="E31" s="85"/>
      <c r="F31" s="86"/>
    </row>
    <row r="32" spans="2:6" x14ac:dyDescent="0.25">
      <c r="B32" s="87"/>
      <c r="C32" s="85" t="s">
        <v>277</v>
      </c>
      <c r="D32" s="85"/>
      <c r="E32" s="85"/>
      <c r="F32" s="86"/>
    </row>
    <row r="33" spans="2:6" x14ac:dyDescent="0.25">
      <c r="B33" s="87"/>
      <c r="C33" s="85" t="s">
        <v>278</v>
      </c>
      <c r="D33" s="85"/>
      <c r="E33" s="85"/>
      <c r="F33" s="86"/>
    </row>
    <row r="34" spans="2:6" ht="13.5" thickBot="1" x14ac:dyDescent="0.3">
      <c r="B34" s="88"/>
      <c r="C34" s="89" t="s">
        <v>279</v>
      </c>
      <c r="D34" s="89"/>
      <c r="E34" s="89"/>
      <c r="F34" s="90"/>
    </row>
    <row r="35" spans="2:6" x14ac:dyDescent="0.25">
      <c r="B35" s="21"/>
      <c r="C35" s="34"/>
      <c r="D35" s="34"/>
      <c r="E35" s="34"/>
      <c r="F35" s="22"/>
    </row>
    <row r="36" spans="2:6" x14ac:dyDescent="0.25">
      <c r="B36" s="21"/>
      <c r="C36" s="21"/>
      <c r="D36" s="21"/>
      <c r="E36" s="21"/>
      <c r="F36" s="22"/>
    </row>
    <row r="37" spans="2:6" x14ac:dyDescent="0.25">
      <c r="B37" s="21"/>
      <c r="C37" s="21"/>
      <c r="D37" s="21"/>
      <c r="E37" s="21"/>
      <c r="F37" s="22"/>
    </row>
    <row r="38" spans="2:6" x14ac:dyDescent="0.25">
      <c r="B38" s="21"/>
      <c r="C38" s="21"/>
      <c r="D38" s="21"/>
      <c r="E38" s="21"/>
      <c r="F38" s="22"/>
    </row>
    <row r="39" spans="2:6" x14ac:dyDescent="0.25">
      <c r="B39" s="21"/>
      <c r="C39" s="21"/>
      <c r="D39" s="21"/>
      <c r="E39" s="21"/>
      <c r="F39" s="22"/>
    </row>
    <row r="40" spans="2:6" x14ac:dyDescent="0.25">
      <c r="B40" s="21"/>
      <c r="C40" s="21"/>
      <c r="D40" s="21"/>
      <c r="E40" s="21"/>
      <c r="F40" s="22"/>
    </row>
    <row r="41" spans="2:6" x14ac:dyDescent="0.25">
      <c r="B41" s="21"/>
      <c r="C41" s="21"/>
      <c r="D41" s="21"/>
      <c r="E41" s="21"/>
      <c r="F41" s="22"/>
    </row>
    <row r="42" spans="2:6" x14ac:dyDescent="0.25">
      <c r="B42" s="21"/>
      <c r="C42" s="21"/>
      <c r="D42" s="21"/>
      <c r="E42" s="21"/>
      <c r="F42" s="22"/>
    </row>
    <row r="43" spans="2:6" x14ac:dyDescent="0.25">
      <c r="B43" s="21"/>
      <c r="C43" s="21"/>
      <c r="D43" s="21"/>
      <c r="E43" s="21"/>
      <c r="F43" s="22"/>
    </row>
    <row r="44" spans="2:6" x14ac:dyDescent="0.25">
      <c r="D44" s="23"/>
      <c r="E44" s="23"/>
    </row>
    <row r="45" spans="2:6" x14ac:dyDescent="0.25">
      <c r="D45" s="23"/>
      <c r="E45" s="23"/>
    </row>
    <row r="46" spans="2:6" x14ac:dyDescent="0.25">
      <c r="D46" s="23"/>
      <c r="E46" s="23"/>
    </row>
    <row r="47" spans="2:6" x14ac:dyDescent="0.25">
      <c r="D47" s="23"/>
      <c r="E47" s="23"/>
    </row>
    <row r="48" spans="2:6" x14ac:dyDescent="0.25">
      <c r="D48" s="23"/>
      <c r="E48" s="23"/>
    </row>
    <row r="49" spans="4:5" x14ac:dyDescent="0.25">
      <c r="D49" s="23"/>
      <c r="E49" s="23"/>
    </row>
    <row r="50" spans="4:5" x14ac:dyDescent="0.25">
      <c r="D50" s="23"/>
      <c r="E50" s="23"/>
    </row>
    <row r="51" spans="4:5" x14ac:dyDescent="0.25">
      <c r="D51" s="23"/>
      <c r="E51" s="23"/>
    </row>
    <row r="52" spans="4:5" x14ac:dyDescent="0.25">
      <c r="D52" s="23"/>
      <c r="E52" s="23"/>
    </row>
    <row r="53" spans="4:5" x14ac:dyDescent="0.25">
      <c r="D53" s="23"/>
      <c r="E53" s="23"/>
    </row>
    <row r="54" spans="4:5" x14ac:dyDescent="0.25">
      <c r="D54" s="23"/>
    </row>
    <row r="55" spans="4:5" x14ac:dyDescent="0.25">
      <c r="D55" s="25"/>
    </row>
  </sheetData>
  <hyperlinks>
    <hyperlink ref="F3" r:id="rId1" xr:uid="{00000000-0004-0000-0300-000000000000}"/>
  </hyperlinks>
  <pageMargins left="0.7" right="0.7" top="0.75" bottom="0.75" header="0.3" footer="0.3"/>
  <pageSetup scale="5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e72efb-060d-49a2-84d8-9bd43d0e3fa3" xsi:nil="true"/>
    <lcf76f155ced4ddcb4097134ff3c332f xmlns="3243a19b-ccf8-4e49-8aa5-5f27bbc65289">
      <Terms xmlns="http://schemas.microsoft.com/office/infopath/2007/PartnerControls"/>
    </lcf76f155ced4ddcb4097134ff3c332f>
    <SharedWithUsers xmlns="03e72efb-060d-49a2-84d8-9bd43d0e3fa3">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01D3962F46234EB88D25C2B0F21D9A" ma:contentTypeVersion="16" ma:contentTypeDescription="Create a new document." ma:contentTypeScope="" ma:versionID="239b0c755392ad70b1ec7d8dc22d862d">
  <xsd:schema xmlns:xsd="http://www.w3.org/2001/XMLSchema" xmlns:xs="http://www.w3.org/2001/XMLSchema" xmlns:p="http://schemas.microsoft.com/office/2006/metadata/properties" xmlns:ns2="3243a19b-ccf8-4e49-8aa5-5f27bbc65289" xmlns:ns3="03e72efb-060d-49a2-84d8-9bd43d0e3fa3" targetNamespace="http://schemas.microsoft.com/office/2006/metadata/properties" ma:root="true" ma:fieldsID="4d8540c0f9e8b4ebcc456146e951b143" ns2:_="" ns3:_="">
    <xsd:import namespace="3243a19b-ccf8-4e49-8aa5-5f27bbc65289"/>
    <xsd:import namespace="03e72efb-060d-49a2-84d8-9bd43d0e3f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3a19b-ccf8-4e49-8aa5-5f27bbc65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0942bf1-3a36-493a-84fa-80b52bd97e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3e72efb-060d-49a2-84d8-9bd43d0e3fa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f3cbcbb-890b-41ab-be69-2751fede923c}" ma:internalName="TaxCatchAll" ma:showField="CatchAllData" ma:web="03e72efb-060d-49a2-84d8-9bd43d0e3f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5476D8-9244-4E10-8D94-1D476604C947}">
  <ds:schemaRefs>
    <ds:schemaRef ds:uri="3243a19b-ccf8-4e49-8aa5-5f27bbc65289"/>
    <ds:schemaRef ds:uri="http://schemas.microsoft.com/office/2006/metadata/properties"/>
    <ds:schemaRef ds:uri="http://purl.org/dc/elements/1.1/"/>
    <ds:schemaRef ds:uri="http://schemas.microsoft.com/office/2006/documentManagement/types"/>
    <ds:schemaRef ds:uri="http://www.w3.org/XML/1998/namespace"/>
    <ds:schemaRef ds:uri="03e72efb-060d-49a2-84d8-9bd43d0e3fa3"/>
    <ds:schemaRef ds:uri="http://schemas.openxmlformats.org/package/2006/metadata/core-properties"/>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E3C6B0F2-77A0-433C-8696-F160DCD78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3a19b-ccf8-4e49-8aa5-5f27bbc65289"/>
    <ds:schemaRef ds:uri="03e72efb-060d-49a2-84d8-9bd43d0e3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26BAE-F3EA-47F4-AB13-C05030007C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Common Application</vt:lpstr>
      <vt:lpstr>Output</vt:lpstr>
      <vt:lpstr>Dropdowns</vt:lpstr>
      <vt:lpstr>Future phase</vt:lpstr>
      <vt:lpstr>Area_Building</vt:lpstr>
      <vt:lpstr>Conversion_to_kBtu_Options</vt:lpstr>
      <vt:lpstr>Conversion_to_kBtu_Table</vt:lpstr>
      <vt:lpstr>Embodied_Carbon_Total</vt:lpstr>
      <vt:lpstr>Energy_Consumption_Annual_Total</vt:lpstr>
      <vt:lpstr>Energy_Production_Annual_Total</vt:lpstr>
      <vt:lpstr>Fuel_Source_Carbon_Headers</vt:lpstr>
      <vt:lpstr>Fuel_Source_Carbon_Table</vt:lpstr>
      <vt:lpstr>Operational_Carbon_Annual_Total</vt:lpstr>
      <vt:lpstr>'Future phase'!Print_Area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 Zambrano</dc:creator>
  <cp:keywords/>
  <dc:description/>
  <cp:lastModifiedBy>Giulia Triassi</cp:lastModifiedBy>
  <cp:revision/>
  <cp:lastPrinted>2024-01-23T13:57:49Z</cp:lastPrinted>
  <dcterms:created xsi:type="dcterms:W3CDTF">2006-09-16T00:00:00Z</dcterms:created>
  <dcterms:modified xsi:type="dcterms:W3CDTF">2025-03-13T21:11:24Z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0x010100F701D3962F46234EB88D25C2B0F21D9A</vt:lpwstr>
  </property>
  <property fmtid="{D5CDD505-2E9C-101B-9397-08002B2CF9AE}" pid="3" name="MediaServiceImageTags">
    <vt:lpwstr/>
  </property>
</Properties>
</file>